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T:\Kaufpreisaufteilung\KPA Fassung 2021\11.5.2021\"/>
    </mc:Choice>
  </mc:AlternateContent>
  <workbookProtection workbookAlgorithmName="SHA-512" workbookHashValue="ct9fLKyYjpcQ9WRxrOZr6n5ceA7jjUMBmLSdOL6pMnVh3AhPdn3mRAlPCCPb9bCKDBaFKptd/tLg2MKb4rI8SQ==" workbookSaltValue="MEmBDR+qJak4qMJ0nGYlow==" workbookSpinCount="100000" lockStructure="1"/>
  <bookViews>
    <workbookView xWindow="-120" yWindow="-120" windowWidth="29040" windowHeight="15840" tabRatio="1000"/>
  </bookViews>
  <sheets>
    <sheet name="KPA" sheetId="4" r:id="rId1"/>
    <sheet name="Fiktives Baujahr" sheetId="9" r:id="rId2"/>
    <sheet name="Verweise zu GAA und BRW und VW" sheetId="8" r:id="rId3"/>
    <sheet name="AfA_Berechnung" sheetId="10" state="hidden" r:id="rId4"/>
    <sheet name="Rechnerische THK-Erläuterung " sheetId="12" state="hidden" r:id="rId5"/>
    <sheet name="SW-NHK" sheetId="1" state="hidden" r:id="rId6"/>
    <sheet name="SW-Bau-Index" sheetId="5" state="hidden" r:id="rId7"/>
    <sheet name="EW-Bewertungsparameter" sheetId="15" state="hidden" r:id="rId8"/>
  </sheets>
  <definedNames>
    <definedName name="_xlnm.Print_Area" localSheetId="3">AfA_Berechnung!$B$15:$O$53</definedName>
    <definedName name="_xlnm.Print_Area" localSheetId="1">'Fiktives Baujahr'!$A$1:$H$72</definedName>
    <definedName name="_xlnm.Print_Area" localSheetId="0">KPA!$C$1:$M$120</definedName>
    <definedName name="_xlnm.Print_Area" localSheetId="4">'Rechnerische THK-Erläuterung '!$A$1:$M$80</definedName>
    <definedName name="_xlnm.Print_Area" localSheetId="2">'Verweise zu GAA und BRW und VW'!$A$1:$B$19</definedName>
    <definedName name="Z_B8FE7C60_7D84_469C_BE86_7AE2888FE41C_.wvu.Cols" localSheetId="1" hidden="1">'Fiktives Baujahr'!$E:$F</definedName>
    <definedName name="Z_B8FE7C60_7D84_469C_BE86_7AE2888FE41C_.wvu.Cols" localSheetId="5" hidden="1">'SW-NHK'!$C:$C,'SW-NHK'!$K:$K,'SW-NHK'!$O:$O,'SW-NHK'!$Q:$Q</definedName>
    <definedName name="Z_B8FE7C60_7D84_469C_BE86_7AE2888FE41C_.wvu.PrintArea" localSheetId="1" hidden="1">'Fiktives Baujahr'!$A$1:$H$72</definedName>
    <definedName name="Z_B8FE7C60_7D84_469C_BE86_7AE2888FE41C_.wvu.PrintArea" localSheetId="0" hidden="1">KPA!$C$2:$M$120</definedName>
    <definedName name="Z_B8FE7C60_7D84_469C_BE86_7AE2888FE41C_.wvu.Rows" localSheetId="1" hidden="1">'Fiktives Baujahr'!#REF!</definedName>
    <definedName name="Z_B8FE7C60_7D84_469C_BE86_7AE2888FE41C_.wvu.Rows" localSheetId="0" hidden="1">KPA!#REF!</definedName>
  </definedNames>
  <calcPr calcId="162913"/>
  <customWorkbookViews>
    <customWorkbookView name="Jardin, Andreas (OFD-Rhld) - Persönliche Ansicht" guid="{B8FE7C60-7D84-469C-BE86-7AE2888FE41C}" mergeInterval="0" personalView="1" maximized="1" windowWidth="1020" windowHeight="572" tabRatio="903" activeSheetId="9" showFormulaBar="0"/>
  </customWorkbookViews>
</workbook>
</file>

<file path=xl/calcChain.xml><?xml version="1.0" encoding="utf-8"?>
<calcChain xmlns="http://schemas.openxmlformats.org/spreadsheetml/2006/main">
  <c r="D55" i="4" l="1"/>
  <c r="E6" i="5" l="1"/>
  <c r="D6" i="5"/>
  <c r="E5" i="5"/>
  <c r="D5" i="5"/>
  <c r="K16" i="4"/>
  <c r="D54" i="4" s="1"/>
  <c r="G16" i="4"/>
  <c r="D53" i="4"/>
  <c r="K53" i="4" l="1"/>
  <c r="D52" i="4"/>
  <c r="F53" i="4"/>
  <c r="F55" i="4"/>
  <c r="K55" i="4"/>
  <c r="O7" i="4"/>
  <c r="K57" i="4" l="1"/>
  <c r="A47" i="4"/>
  <c r="A46" i="4"/>
  <c r="A45" i="4"/>
  <c r="A44" i="4"/>
  <c r="A43" i="4"/>
  <c r="D136" i="4"/>
  <c r="D135" i="4"/>
  <c r="D134" i="4"/>
  <c r="D133" i="4"/>
  <c r="D132" i="4"/>
  <c r="D131" i="4"/>
  <c r="D130" i="4"/>
  <c r="D129" i="4"/>
  <c r="D128" i="4"/>
  <c r="D127" i="4"/>
  <c r="D126" i="4"/>
  <c r="D137" i="4"/>
  <c r="A40" i="4"/>
  <c r="A39" i="4"/>
  <c r="A38" i="4"/>
  <c r="A37" i="4"/>
  <c r="A36" i="4"/>
  <c r="A35" i="4"/>
  <c r="A34" i="4"/>
  <c r="A33" i="4"/>
  <c r="A32" i="4"/>
  <c r="A31" i="4"/>
  <c r="A30" i="4"/>
  <c r="A29" i="4"/>
  <c r="A28" i="4"/>
  <c r="A27" i="4"/>
  <c r="A26" i="4"/>
  <c r="A25" i="4"/>
  <c r="A24" i="4"/>
  <c r="A23" i="4"/>
  <c r="S76" i="15"/>
  <c r="R76" i="15"/>
  <c r="Q76" i="15"/>
  <c r="P76" i="15"/>
  <c r="O76" i="15"/>
  <c r="N76" i="15"/>
  <c r="M76" i="15"/>
  <c r="L76" i="15"/>
  <c r="K76" i="15"/>
  <c r="J76" i="15"/>
  <c r="I74" i="15"/>
  <c r="J74" i="15" s="1"/>
  <c r="K74" i="15" s="1"/>
  <c r="L74" i="15" s="1"/>
  <c r="M74" i="15" s="1"/>
  <c r="N74" i="15" s="1"/>
  <c r="O74" i="15" s="1"/>
  <c r="P74" i="15" s="1"/>
  <c r="Q74" i="15" s="1"/>
  <c r="R74" i="15" s="1"/>
  <c r="S74" i="15" s="1"/>
  <c r="J73" i="15"/>
  <c r="K73" i="15" s="1"/>
  <c r="L73" i="15" s="1"/>
  <c r="M73" i="15" s="1"/>
  <c r="N73" i="15" s="1"/>
  <c r="O73" i="15" s="1"/>
  <c r="P73" i="15" s="1"/>
  <c r="Q73" i="15" s="1"/>
  <c r="R73" i="15" s="1"/>
  <c r="S73" i="15" s="1"/>
  <c r="A97" i="4" l="1"/>
  <c r="A88" i="4" l="1"/>
  <c r="A81" i="4"/>
  <c r="A95" i="4"/>
  <c r="A74" i="4"/>
  <c r="A82" i="4"/>
  <c r="A86" i="4"/>
  <c r="A92" i="4"/>
  <c r="A96" i="4"/>
  <c r="A76" i="4"/>
  <c r="A94" i="4"/>
  <c r="A91" i="4"/>
  <c r="A75" i="4"/>
  <c r="A83" i="4"/>
  <c r="A87" i="4"/>
  <c r="A93" i="4"/>
  <c r="K76" i="4"/>
  <c r="A77" i="4" l="1"/>
  <c r="A79" i="4"/>
  <c r="A80" i="4"/>
  <c r="O21" i="4" l="1"/>
  <c r="A98" i="4" s="1"/>
  <c r="A49" i="4" l="1"/>
  <c r="A112" i="4"/>
  <c r="A111" i="4"/>
  <c r="A59" i="4"/>
  <c r="A73" i="4"/>
  <c r="A69" i="4"/>
  <c r="A70" i="4"/>
  <c r="A72" i="4"/>
  <c r="A71" i="4"/>
  <c r="A120" i="4"/>
  <c r="A65" i="4"/>
  <c r="A68" i="4"/>
  <c r="A64" i="4"/>
  <c r="A60" i="4"/>
  <c r="A67" i="4"/>
  <c r="A63" i="4"/>
  <c r="A66" i="4"/>
  <c r="A62" i="4"/>
  <c r="A61" i="4"/>
  <c r="D50" i="4"/>
  <c r="G7" i="15"/>
  <c r="H7" i="15" s="1"/>
  <c r="I7" i="15" s="1"/>
  <c r="J7" i="15" s="1"/>
  <c r="K7" i="15" s="1"/>
  <c r="L7" i="15" s="1"/>
  <c r="M7" i="15" s="1"/>
  <c r="N7" i="15" s="1"/>
  <c r="O7" i="15" s="1"/>
  <c r="P7" i="15" s="1"/>
  <c r="K6" i="15"/>
  <c r="J6" i="15"/>
  <c r="H6" i="15"/>
  <c r="H5" i="15"/>
  <c r="I5" i="15" s="1"/>
  <c r="J5" i="15" s="1"/>
  <c r="K5" i="15" s="1"/>
  <c r="L5" i="15" s="1"/>
  <c r="M5" i="15" s="1"/>
  <c r="N5" i="15" s="1"/>
  <c r="O5" i="15" s="1"/>
  <c r="P5" i="15" s="1"/>
  <c r="D185" i="4" l="1"/>
  <c r="O12" i="1"/>
  <c r="N12" i="1"/>
  <c r="M12" i="1"/>
  <c r="O11" i="1"/>
  <c r="N11" i="1"/>
  <c r="M11" i="1"/>
  <c r="K101" i="4" l="1"/>
  <c r="K106" i="4"/>
  <c r="K105" i="4"/>
  <c r="D106" i="4"/>
  <c r="D105" i="4"/>
  <c r="D110" i="4" l="1"/>
  <c r="D112" i="4" s="1"/>
  <c r="A48" i="4"/>
  <c r="G118" i="4"/>
  <c r="K118" i="4" s="1"/>
  <c r="J118" i="4"/>
  <c r="A109" i="4" l="1"/>
  <c r="A108" i="4"/>
  <c r="A104" i="4"/>
  <c r="A103" i="4"/>
  <c r="A105" i="4"/>
  <c r="A107" i="4"/>
  <c r="A106" i="4"/>
  <c r="A101" i="4"/>
  <c r="A99" i="4"/>
  <c r="A100" i="4"/>
  <c r="A102" i="4"/>
  <c r="F116" i="4" l="1"/>
  <c r="H74" i="12"/>
  <c r="B3" i="12"/>
  <c r="I48" i="12"/>
  <c r="E10" i="5"/>
  <c r="E9" i="5"/>
  <c r="E8" i="5"/>
  <c r="E7" i="5"/>
  <c r="E11" i="5"/>
  <c r="D10" i="5"/>
  <c r="D9" i="5"/>
  <c r="D8" i="5"/>
  <c r="D7" i="5"/>
  <c r="D11" i="5"/>
  <c r="L28" i="10"/>
  <c r="M28" i="10" s="1"/>
  <c r="H11" i="4"/>
  <c r="G8" i="10"/>
  <c r="I25" i="10"/>
  <c r="H28" i="10"/>
  <c r="G10" i="10"/>
  <c r="C28" i="10"/>
  <c r="J25" i="10"/>
  <c r="C25" i="10"/>
  <c r="C29" i="10"/>
  <c r="I28" i="10"/>
  <c r="M26" i="10"/>
  <c r="J9" i="1"/>
  <c r="M9" i="1" s="1"/>
  <c r="O14" i="1"/>
  <c r="N14" i="1"/>
  <c r="M14" i="1"/>
  <c r="O16" i="1"/>
  <c r="N16" i="1"/>
  <c r="M16" i="1"/>
  <c r="G10" i="4"/>
  <c r="O18" i="1"/>
  <c r="N18" i="1"/>
  <c r="M18" i="1"/>
  <c r="D2" i="4"/>
  <c r="L55" i="1"/>
  <c r="G70" i="1"/>
  <c r="H70" i="1"/>
  <c r="J10" i="1"/>
  <c r="O10" i="1" s="1"/>
  <c r="J8" i="1"/>
  <c r="O8" i="1" s="1"/>
  <c r="I7" i="1"/>
  <c r="H7" i="1"/>
  <c r="G7" i="1"/>
  <c r="F7" i="1"/>
  <c r="E7" i="1"/>
  <c r="E10" i="1" s="1"/>
  <c r="K10" i="1" s="1"/>
  <c r="D184" i="4"/>
  <c r="D183" i="4"/>
  <c r="D182" i="4"/>
  <c r="D181" i="4"/>
  <c r="D180" i="4"/>
  <c r="D179" i="4"/>
  <c r="D178" i="4"/>
  <c r="D177" i="4"/>
  <c r="D176" i="4"/>
  <c r="D175" i="4"/>
  <c r="D174" i="4"/>
  <c r="D173" i="4"/>
  <c r="O66" i="1"/>
  <c r="N66" i="1"/>
  <c r="M66" i="1"/>
  <c r="L66" i="1"/>
  <c r="O65" i="1"/>
  <c r="N65" i="1"/>
  <c r="M65" i="1"/>
  <c r="L65" i="1"/>
  <c r="O64" i="1"/>
  <c r="N64" i="1"/>
  <c r="M64" i="1"/>
  <c r="L64" i="1"/>
  <c r="O63" i="1"/>
  <c r="N63" i="1"/>
  <c r="M63" i="1"/>
  <c r="L63" i="1"/>
  <c r="O62" i="1"/>
  <c r="N62" i="1"/>
  <c r="M62" i="1"/>
  <c r="L62" i="1"/>
  <c r="O61" i="1"/>
  <c r="N61" i="1"/>
  <c r="M61" i="1"/>
  <c r="L61" i="1"/>
  <c r="O60" i="1"/>
  <c r="N60" i="1"/>
  <c r="M60" i="1"/>
  <c r="L60" i="1"/>
  <c r="O59" i="1"/>
  <c r="N59" i="1"/>
  <c r="M59" i="1"/>
  <c r="L59" i="1"/>
  <c r="O58" i="1"/>
  <c r="N58" i="1"/>
  <c r="M58" i="1"/>
  <c r="L58" i="1"/>
  <c r="O57" i="1"/>
  <c r="N57" i="1"/>
  <c r="M57" i="1"/>
  <c r="L57" i="1"/>
  <c r="O56" i="1"/>
  <c r="N56" i="1"/>
  <c r="M56" i="1"/>
  <c r="L56" i="1"/>
  <c r="O55" i="1"/>
  <c r="N55" i="1"/>
  <c r="M55" i="1"/>
  <c r="O54" i="1"/>
  <c r="N54" i="1"/>
  <c r="M54" i="1"/>
  <c r="L54" i="1"/>
  <c r="K54" i="1"/>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F24" i="9"/>
  <c r="F23" i="9"/>
  <c r="F22" i="9"/>
  <c r="F21" i="9"/>
  <c r="F20" i="9"/>
  <c r="F19" i="9"/>
  <c r="F18" i="9"/>
  <c r="F17" i="9"/>
  <c r="A30" i="5"/>
  <c r="A31" i="5" s="1"/>
  <c r="A32" i="5" s="1"/>
  <c r="A33" i="5" s="1"/>
  <c r="A34" i="5" s="1"/>
  <c r="H62" i="4"/>
  <c r="H66" i="4"/>
  <c r="H64" i="4"/>
  <c r="O17" i="1"/>
  <c r="N17" i="1"/>
  <c r="M17" i="1"/>
  <c r="H65" i="4"/>
  <c r="D65" i="4"/>
  <c r="H63" i="4"/>
  <c r="D63" i="4"/>
  <c r="G63" i="4"/>
  <c r="G65" i="4"/>
  <c r="J66" i="4"/>
  <c r="J64" i="4"/>
  <c r="G64" i="4"/>
  <c r="G66" i="4"/>
  <c r="K46" i="1"/>
  <c r="L46" i="1"/>
  <c r="M46" i="1"/>
  <c r="N46" i="1"/>
  <c r="O46" i="1"/>
  <c r="K40" i="1"/>
  <c r="L40" i="1"/>
  <c r="M40" i="1"/>
  <c r="N40" i="1"/>
  <c r="O40" i="1"/>
  <c r="K22" i="1"/>
  <c r="L22" i="1"/>
  <c r="M22" i="1"/>
  <c r="N22" i="1"/>
  <c r="O22" i="1"/>
  <c r="O42" i="1"/>
  <c r="N42" i="1"/>
  <c r="M42" i="1"/>
  <c r="L42" i="1"/>
  <c r="K42" i="1"/>
  <c r="O30" i="1"/>
  <c r="N30" i="1"/>
  <c r="M30" i="1"/>
  <c r="L30" i="1"/>
  <c r="K30" i="1"/>
  <c r="O51" i="1"/>
  <c r="N51" i="1"/>
  <c r="M51" i="1"/>
  <c r="L51" i="1"/>
  <c r="K51" i="1"/>
  <c r="O39" i="1"/>
  <c r="N39" i="1"/>
  <c r="M39" i="1"/>
  <c r="L39" i="1"/>
  <c r="K39" i="1"/>
  <c r="O27" i="1"/>
  <c r="N27" i="1"/>
  <c r="M27" i="1"/>
  <c r="L27" i="1"/>
  <c r="K27" i="1"/>
  <c r="O48" i="1"/>
  <c r="N48" i="1"/>
  <c r="M48" i="1"/>
  <c r="L48" i="1"/>
  <c r="K48" i="1"/>
  <c r="O36" i="1"/>
  <c r="N36" i="1"/>
  <c r="M36" i="1"/>
  <c r="L36" i="1"/>
  <c r="K36" i="1"/>
  <c r="O24" i="1"/>
  <c r="N24" i="1"/>
  <c r="M24" i="1"/>
  <c r="L24" i="1"/>
  <c r="K24" i="1"/>
  <c r="O45" i="1"/>
  <c r="N45" i="1"/>
  <c r="M45" i="1"/>
  <c r="L45" i="1"/>
  <c r="K45" i="1"/>
  <c r="O33" i="1"/>
  <c r="N33" i="1"/>
  <c r="M33" i="1"/>
  <c r="L33" i="1"/>
  <c r="K33" i="1"/>
  <c r="O21" i="1"/>
  <c r="N21" i="1"/>
  <c r="M21" i="1"/>
  <c r="L21" i="1"/>
  <c r="K21" i="1"/>
  <c r="O53" i="1"/>
  <c r="N53" i="1"/>
  <c r="M53" i="1"/>
  <c r="L53" i="1"/>
  <c r="K53" i="1"/>
  <c r="O41" i="1"/>
  <c r="N41" i="1"/>
  <c r="M41" i="1"/>
  <c r="L41" i="1"/>
  <c r="K41" i="1"/>
  <c r="O29" i="1"/>
  <c r="N29" i="1"/>
  <c r="M29" i="1"/>
  <c r="L29" i="1"/>
  <c r="K29" i="1"/>
  <c r="O50" i="1"/>
  <c r="N50" i="1"/>
  <c r="M50" i="1"/>
  <c r="L50" i="1"/>
  <c r="K50" i="1"/>
  <c r="O38" i="1"/>
  <c r="N38" i="1"/>
  <c r="M38" i="1"/>
  <c r="L38" i="1"/>
  <c r="K38" i="1"/>
  <c r="O26" i="1"/>
  <c r="N26" i="1"/>
  <c r="M26" i="1"/>
  <c r="L26" i="1"/>
  <c r="K26" i="1"/>
  <c r="O47" i="1"/>
  <c r="N47" i="1"/>
  <c r="M47" i="1"/>
  <c r="L47" i="1"/>
  <c r="K47" i="1"/>
  <c r="O35" i="1"/>
  <c r="N35" i="1"/>
  <c r="M35" i="1"/>
  <c r="L35" i="1"/>
  <c r="K35" i="1"/>
  <c r="O23" i="1"/>
  <c r="N23" i="1"/>
  <c r="M23" i="1"/>
  <c r="L23" i="1"/>
  <c r="K23" i="1"/>
  <c r="O44" i="1"/>
  <c r="N44" i="1"/>
  <c r="M44" i="1"/>
  <c r="L44" i="1"/>
  <c r="K44" i="1"/>
  <c r="O32" i="1"/>
  <c r="N32" i="1"/>
  <c r="M32" i="1"/>
  <c r="L32" i="1"/>
  <c r="K32" i="1"/>
  <c r="O20" i="1"/>
  <c r="N20" i="1"/>
  <c r="M20" i="1"/>
  <c r="L20" i="1"/>
  <c r="K20" i="1"/>
  <c r="O52" i="1"/>
  <c r="N52" i="1"/>
  <c r="M52" i="1"/>
  <c r="L52" i="1"/>
  <c r="K52" i="1"/>
  <c r="O28" i="1"/>
  <c r="N28" i="1"/>
  <c r="M28" i="1"/>
  <c r="L28" i="1"/>
  <c r="K28" i="1"/>
  <c r="O49" i="1"/>
  <c r="N49" i="1"/>
  <c r="M49" i="1"/>
  <c r="L49" i="1"/>
  <c r="K49" i="1"/>
  <c r="O37" i="1"/>
  <c r="N37" i="1"/>
  <c r="M37" i="1"/>
  <c r="L37" i="1"/>
  <c r="K37" i="1"/>
  <c r="O25" i="1"/>
  <c r="N25" i="1"/>
  <c r="M25" i="1"/>
  <c r="L25" i="1"/>
  <c r="K25" i="1"/>
  <c r="O34" i="1"/>
  <c r="N34" i="1"/>
  <c r="M34" i="1"/>
  <c r="L34" i="1"/>
  <c r="K34" i="1"/>
  <c r="O43" i="1"/>
  <c r="N43" i="1"/>
  <c r="M43" i="1"/>
  <c r="L43" i="1"/>
  <c r="K43" i="1"/>
  <c r="O31" i="1"/>
  <c r="N31" i="1"/>
  <c r="M31" i="1"/>
  <c r="L31" i="1"/>
  <c r="K31" i="1"/>
  <c r="O19" i="1"/>
  <c r="N19" i="1"/>
  <c r="M19" i="1"/>
  <c r="L19" i="1"/>
  <c r="K19" i="1"/>
  <c r="O15" i="1"/>
  <c r="N15" i="1"/>
  <c r="M15" i="1"/>
  <c r="O13" i="1"/>
  <c r="N13" i="1"/>
  <c r="M13" i="1"/>
  <c r="M8" i="1" l="1"/>
  <c r="L24" i="12"/>
  <c r="I72" i="15"/>
  <c r="G9" i="15" s="1"/>
  <c r="K84" i="4"/>
  <c r="E16" i="1"/>
  <c r="K16" i="1" s="1"/>
  <c r="E17" i="1"/>
  <c r="K17" i="1" s="1"/>
  <c r="F15" i="1"/>
  <c r="L15" i="1" s="1"/>
  <c r="E8" i="1"/>
  <c r="K8" i="1" s="1"/>
  <c r="N10" i="1"/>
  <c r="E12" i="1"/>
  <c r="K12" i="1" s="1"/>
  <c r="E11" i="1"/>
  <c r="K11" i="1" s="1"/>
  <c r="F13" i="1"/>
  <c r="L13" i="1" s="1"/>
  <c r="F11" i="1"/>
  <c r="L11" i="1" s="1"/>
  <c r="F12" i="1"/>
  <c r="L12" i="1" s="1"/>
  <c r="F18" i="1"/>
  <c r="L18" i="1" s="1"/>
  <c r="F8" i="1"/>
  <c r="L8" i="1" s="1"/>
  <c r="N8" i="1"/>
  <c r="E13" i="1"/>
  <c r="K13" i="1" s="1"/>
  <c r="E15" i="1"/>
  <c r="K15" i="1" s="1"/>
  <c r="M10" i="1"/>
  <c r="A58" i="4"/>
  <c r="A53" i="4"/>
  <c r="A57" i="4"/>
  <c r="A52" i="4"/>
  <c r="A56" i="4"/>
  <c r="A51" i="4"/>
  <c r="A55" i="4"/>
  <c r="A113" i="4"/>
  <c r="A110" i="4"/>
  <c r="A50" i="4"/>
  <c r="F25" i="9"/>
  <c r="L7" i="1"/>
  <c r="E14" i="1"/>
  <c r="K14" i="1" s="1"/>
  <c r="E18" i="1"/>
  <c r="K18" i="1" s="1"/>
  <c r="F14" i="1"/>
  <c r="L14" i="1" s="1"/>
  <c r="F16" i="1"/>
  <c r="L16" i="1" s="1"/>
  <c r="E9" i="1"/>
  <c r="K9" i="1" s="1"/>
  <c r="F9" i="1"/>
  <c r="L9" i="1" s="1"/>
  <c r="F10" i="1"/>
  <c r="L10" i="1" s="1"/>
  <c r="F17" i="1"/>
  <c r="L17" i="1" s="1"/>
  <c r="M7" i="1"/>
  <c r="J7" i="1" s="1"/>
  <c r="A35" i="5"/>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E73" i="5"/>
  <c r="G72" i="12" s="1"/>
  <c r="H21" i="4"/>
  <c r="D13" i="9"/>
  <c r="D7" i="9"/>
  <c r="F75" i="1"/>
  <c r="C24" i="12"/>
  <c r="I44" i="12"/>
  <c r="D9" i="9"/>
  <c r="D72" i="12"/>
  <c r="K7" i="1"/>
  <c r="N7" i="1"/>
  <c r="O7" i="1"/>
  <c r="O9" i="1"/>
  <c r="N9" i="1"/>
  <c r="D73" i="5" l="1"/>
  <c r="E72" i="12" s="1"/>
  <c r="L12" i="12"/>
  <c r="F72" i="1"/>
  <c r="D10" i="9"/>
  <c r="D14" i="9" s="1"/>
  <c r="C30" i="9" s="1"/>
  <c r="G64" i="15"/>
  <c r="G21" i="15"/>
  <c r="G37" i="15"/>
  <c r="G53" i="15"/>
  <c r="G8" i="15"/>
  <c r="G34" i="15"/>
  <c r="G50" i="15"/>
  <c r="G66" i="15"/>
  <c r="G35" i="15"/>
  <c r="G51" i="15"/>
  <c r="G67" i="15"/>
  <c r="G32" i="15"/>
  <c r="G48" i="15"/>
  <c r="G27" i="15"/>
  <c r="G43" i="15"/>
  <c r="G24" i="15"/>
  <c r="G56" i="15"/>
  <c r="G25" i="15"/>
  <c r="G41" i="15"/>
  <c r="G57" i="15"/>
  <c r="G22" i="15"/>
  <c r="G38" i="15"/>
  <c r="G54" i="15"/>
  <c r="G23" i="15"/>
  <c r="G39" i="15"/>
  <c r="G55" i="15"/>
  <c r="G20" i="15"/>
  <c r="G36" i="15"/>
  <c r="G52" i="15"/>
  <c r="G58" i="15"/>
  <c r="G59" i="15"/>
  <c r="G40" i="15"/>
  <c r="G29" i="15"/>
  <c r="G45" i="15"/>
  <c r="G61" i="15"/>
  <c r="G26" i="15"/>
  <c r="K26" i="15" s="1"/>
  <c r="G42" i="15"/>
  <c r="G33" i="15"/>
  <c r="G49" i="15"/>
  <c r="G65" i="15"/>
  <c r="G30" i="15"/>
  <c r="G46" i="15"/>
  <c r="G62" i="15"/>
  <c r="G31" i="15"/>
  <c r="G47" i="15"/>
  <c r="G63" i="15"/>
  <c r="G28" i="15"/>
  <c r="G44" i="15"/>
  <c r="G60" i="15"/>
  <c r="P9" i="15"/>
  <c r="I9" i="15"/>
  <c r="G18" i="15"/>
  <c r="G11" i="15"/>
  <c r="G19" i="15"/>
  <c r="G15" i="15"/>
  <c r="L9" i="15"/>
  <c r="G10" i="15"/>
  <c r="G13" i="15"/>
  <c r="G12" i="15"/>
  <c r="N9" i="15"/>
  <c r="G16" i="15"/>
  <c r="O9" i="15"/>
  <c r="G17" i="15"/>
  <c r="G14" i="15"/>
  <c r="M9" i="15"/>
  <c r="H9" i="15"/>
  <c r="J9" i="15"/>
  <c r="K9" i="15"/>
  <c r="K95" i="4"/>
  <c r="D15" i="9"/>
  <c r="L68" i="1"/>
  <c r="F79" i="1"/>
  <c r="G51" i="9"/>
  <c r="O10" i="15" l="1"/>
  <c r="P10" i="15"/>
  <c r="K103" i="4"/>
  <c r="K108" i="4" s="1"/>
  <c r="D103" i="4"/>
  <c r="L26" i="15"/>
  <c r="J26" i="15"/>
  <c r="P26" i="15"/>
  <c r="O26" i="15"/>
  <c r="N26" i="15"/>
  <c r="N44" i="15"/>
  <c r="O44" i="15"/>
  <c r="L44" i="15"/>
  <c r="J44" i="15"/>
  <c r="H44" i="15"/>
  <c r="K44" i="15"/>
  <c r="I44" i="15"/>
  <c r="P44" i="15"/>
  <c r="M44" i="15"/>
  <c r="O31" i="15"/>
  <c r="I31" i="15"/>
  <c r="L31" i="15"/>
  <c r="K31" i="15"/>
  <c r="P31" i="15"/>
  <c r="N31" i="15"/>
  <c r="H31" i="15"/>
  <c r="J31" i="15"/>
  <c r="M31" i="15"/>
  <c r="P65" i="15"/>
  <c r="I65" i="15"/>
  <c r="O65" i="15"/>
  <c r="L65" i="15"/>
  <c r="M65" i="15"/>
  <c r="H65" i="15"/>
  <c r="N65" i="15"/>
  <c r="K65" i="15"/>
  <c r="J65" i="15"/>
  <c r="N40" i="15"/>
  <c r="L40" i="15"/>
  <c r="I40" i="15"/>
  <c r="J40" i="15"/>
  <c r="M40" i="15"/>
  <c r="O40" i="15"/>
  <c r="K40" i="15"/>
  <c r="P40" i="15"/>
  <c r="H40" i="15"/>
  <c r="N36" i="15"/>
  <c r="O36" i="15"/>
  <c r="H36" i="15"/>
  <c r="J36" i="15"/>
  <c r="I36" i="15"/>
  <c r="P36" i="15"/>
  <c r="M36" i="15"/>
  <c r="K36" i="15"/>
  <c r="L36" i="15"/>
  <c r="P57" i="15"/>
  <c r="I57" i="15"/>
  <c r="J57" i="15"/>
  <c r="L57" i="15"/>
  <c r="M57" i="15"/>
  <c r="H57" i="15"/>
  <c r="O57" i="15"/>
  <c r="N57" i="15"/>
  <c r="K57" i="15"/>
  <c r="M32" i="15"/>
  <c r="H32" i="15"/>
  <c r="J32" i="15"/>
  <c r="O32" i="15"/>
  <c r="P32" i="15"/>
  <c r="N32" i="15"/>
  <c r="L32" i="15"/>
  <c r="K32" i="15"/>
  <c r="I32" i="15"/>
  <c r="P66" i="15"/>
  <c r="N66" i="15"/>
  <c r="M66" i="15"/>
  <c r="J66" i="15"/>
  <c r="H66" i="15"/>
  <c r="K66" i="15"/>
  <c r="O66" i="15"/>
  <c r="I66" i="15"/>
  <c r="L66" i="15"/>
  <c r="P53" i="15"/>
  <c r="O53" i="15"/>
  <c r="I53" i="15"/>
  <c r="L53" i="15"/>
  <c r="J53" i="15"/>
  <c r="H53" i="15"/>
  <c r="N53" i="15"/>
  <c r="K53" i="15"/>
  <c r="M53" i="15"/>
  <c r="I26" i="15"/>
  <c r="M28" i="15"/>
  <c r="K28" i="15"/>
  <c r="H28" i="15"/>
  <c r="I28" i="15"/>
  <c r="O28" i="15"/>
  <c r="L28" i="15"/>
  <c r="J28" i="15"/>
  <c r="P28" i="15"/>
  <c r="N28" i="15"/>
  <c r="N62" i="15"/>
  <c r="K62" i="15"/>
  <c r="M62" i="15"/>
  <c r="J62" i="15"/>
  <c r="I62" i="15"/>
  <c r="L62" i="15"/>
  <c r="H62" i="15"/>
  <c r="P62" i="15"/>
  <c r="O62" i="15"/>
  <c r="P49" i="15"/>
  <c r="I49" i="15"/>
  <c r="O49" i="15"/>
  <c r="M49" i="15"/>
  <c r="K49" i="15"/>
  <c r="J49" i="15"/>
  <c r="L49" i="15"/>
  <c r="H49" i="15"/>
  <c r="N49" i="15"/>
  <c r="P61" i="15"/>
  <c r="O61" i="15"/>
  <c r="M61" i="15"/>
  <c r="L61" i="15"/>
  <c r="J61" i="15"/>
  <c r="H61" i="15"/>
  <c r="I61" i="15"/>
  <c r="K61" i="15"/>
  <c r="N61" i="15"/>
  <c r="P59" i="15"/>
  <c r="J59" i="15"/>
  <c r="K59" i="15"/>
  <c r="L59" i="15"/>
  <c r="N59" i="15"/>
  <c r="H59" i="15"/>
  <c r="I59" i="15"/>
  <c r="O59" i="15"/>
  <c r="M59" i="15"/>
  <c r="N54" i="15"/>
  <c r="K54" i="15"/>
  <c r="H54" i="15"/>
  <c r="J54" i="15"/>
  <c r="O54" i="15"/>
  <c r="L54" i="15"/>
  <c r="M54" i="15"/>
  <c r="P54" i="15"/>
  <c r="I54" i="15"/>
  <c r="P41" i="15"/>
  <c r="I41" i="15"/>
  <c r="J41" i="15"/>
  <c r="L41" i="15"/>
  <c r="M41" i="15"/>
  <c r="H41" i="15"/>
  <c r="O41" i="15"/>
  <c r="N41" i="15"/>
  <c r="K41" i="15"/>
  <c r="P43" i="15"/>
  <c r="J43" i="15"/>
  <c r="K43" i="15"/>
  <c r="L43" i="15"/>
  <c r="N43" i="15"/>
  <c r="H43" i="15"/>
  <c r="I43" i="15"/>
  <c r="O43" i="15"/>
  <c r="M43" i="15"/>
  <c r="H67" i="15"/>
  <c r="I67" i="15"/>
  <c r="M67" i="15"/>
  <c r="J67" i="15"/>
  <c r="O67" i="15"/>
  <c r="P67" i="15"/>
  <c r="L67" i="15"/>
  <c r="N67" i="15"/>
  <c r="K67" i="15"/>
  <c r="N50" i="15"/>
  <c r="M50" i="15"/>
  <c r="P50" i="15"/>
  <c r="J50" i="15"/>
  <c r="H50" i="15"/>
  <c r="O50" i="15"/>
  <c r="L50" i="15"/>
  <c r="I50" i="15"/>
  <c r="K50" i="15"/>
  <c r="P37" i="15"/>
  <c r="O37" i="15"/>
  <c r="I37" i="15"/>
  <c r="J37" i="15"/>
  <c r="H37" i="15"/>
  <c r="K37" i="15"/>
  <c r="M37" i="15"/>
  <c r="L37" i="15"/>
  <c r="N37" i="15"/>
  <c r="M26" i="15"/>
  <c r="P63" i="15"/>
  <c r="K63" i="15"/>
  <c r="N63" i="15"/>
  <c r="L63" i="15"/>
  <c r="J63" i="15"/>
  <c r="H63" i="15"/>
  <c r="I63" i="15"/>
  <c r="M63" i="15"/>
  <c r="O63" i="15"/>
  <c r="N46" i="15"/>
  <c r="K46" i="15"/>
  <c r="M46" i="15"/>
  <c r="J46" i="15"/>
  <c r="I46" i="15"/>
  <c r="L46" i="15"/>
  <c r="H46" i="15"/>
  <c r="P46" i="15"/>
  <c r="O46" i="15"/>
  <c r="O33" i="15"/>
  <c r="M33" i="15"/>
  <c r="H33" i="15"/>
  <c r="L33" i="15"/>
  <c r="N33" i="15"/>
  <c r="I33" i="15"/>
  <c r="J33" i="15"/>
  <c r="K33" i="15"/>
  <c r="P33" i="15"/>
  <c r="P45" i="15"/>
  <c r="O45" i="15"/>
  <c r="M45" i="15"/>
  <c r="L45" i="15"/>
  <c r="J45" i="15"/>
  <c r="H45" i="15"/>
  <c r="I45" i="15"/>
  <c r="K45" i="15"/>
  <c r="N45" i="15"/>
  <c r="N58" i="15"/>
  <c r="M58" i="15"/>
  <c r="K58" i="15"/>
  <c r="J58" i="15"/>
  <c r="H58" i="15"/>
  <c r="O58" i="15"/>
  <c r="P58" i="15"/>
  <c r="I58" i="15"/>
  <c r="L58" i="15"/>
  <c r="P55" i="15"/>
  <c r="K55" i="15"/>
  <c r="I55" i="15"/>
  <c r="L55" i="15"/>
  <c r="O55" i="15"/>
  <c r="H55" i="15"/>
  <c r="N55" i="15"/>
  <c r="M55" i="15"/>
  <c r="J55" i="15"/>
  <c r="N38" i="15"/>
  <c r="K38" i="15"/>
  <c r="H38" i="15"/>
  <c r="J38" i="15"/>
  <c r="O38" i="15"/>
  <c r="L38" i="15"/>
  <c r="M38" i="15"/>
  <c r="P38" i="15"/>
  <c r="I38" i="15"/>
  <c r="O27" i="15"/>
  <c r="J27" i="15"/>
  <c r="H27" i="15"/>
  <c r="K27" i="15"/>
  <c r="N27" i="15"/>
  <c r="L27" i="15"/>
  <c r="I27" i="15"/>
  <c r="P27" i="15"/>
  <c r="M27" i="15"/>
  <c r="P51" i="15"/>
  <c r="J51" i="15"/>
  <c r="K51" i="15"/>
  <c r="I51" i="15"/>
  <c r="M51" i="15"/>
  <c r="L51" i="15"/>
  <c r="N51" i="15"/>
  <c r="H51" i="15"/>
  <c r="O51" i="15"/>
  <c r="N34" i="15"/>
  <c r="M34" i="15"/>
  <c r="P34" i="15"/>
  <c r="J34" i="15"/>
  <c r="H34" i="15"/>
  <c r="O34" i="15"/>
  <c r="L34" i="15"/>
  <c r="I34" i="15"/>
  <c r="K34" i="15"/>
  <c r="H26" i="15"/>
  <c r="N60" i="15"/>
  <c r="O60" i="15"/>
  <c r="L60" i="15"/>
  <c r="J60" i="15"/>
  <c r="I60" i="15"/>
  <c r="P60" i="15"/>
  <c r="H60" i="15"/>
  <c r="K60" i="15"/>
  <c r="M60" i="15"/>
  <c r="P47" i="15"/>
  <c r="K47" i="15"/>
  <c r="N47" i="15"/>
  <c r="L47" i="15"/>
  <c r="J47" i="15"/>
  <c r="H47" i="15"/>
  <c r="I47" i="15"/>
  <c r="M47" i="15"/>
  <c r="O47" i="15"/>
  <c r="M30" i="15"/>
  <c r="L30" i="15"/>
  <c r="J30" i="15"/>
  <c r="I30" i="15"/>
  <c r="P30" i="15"/>
  <c r="O30" i="15"/>
  <c r="N30" i="15"/>
  <c r="K30" i="15"/>
  <c r="H30" i="15"/>
  <c r="N42" i="15"/>
  <c r="M42" i="15"/>
  <c r="K42" i="15"/>
  <c r="J42" i="15"/>
  <c r="H42" i="15"/>
  <c r="O42" i="15"/>
  <c r="P42" i="15"/>
  <c r="I42" i="15"/>
  <c r="L42" i="15"/>
  <c r="O29" i="15"/>
  <c r="L29" i="15"/>
  <c r="I29" i="15"/>
  <c r="J29" i="15"/>
  <c r="K29" i="15"/>
  <c r="P29" i="15"/>
  <c r="M29" i="15"/>
  <c r="H29" i="15"/>
  <c r="N29" i="15"/>
  <c r="N52" i="15"/>
  <c r="O52" i="15"/>
  <c r="H52" i="15"/>
  <c r="J52" i="15"/>
  <c r="I52" i="15"/>
  <c r="M52" i="15"/>
  <c r="K52" i="15"/>
  <c r="L52" i="15"/>
  <c r="P52" i="15"/>
  <c r="P39" i="15"/>
  <c r="K39" i="15"/>
  <c r="I39" i="15"/>
  <c r="O39" i="15"/>
  <c r="H39" i="15"/>
  <c r="M39" i="15"/>
  <c r="L39" i="15"/>
  <c r="N39" i="15"/>
  <c r="J39" i="15"/>
  <c r="N56" i="15"/>
  <c r="L56" i="15"/>
  <c r="I56" i="15"/>
  <c r="J56" i="15"/>
  <c r="P56" i="15"/>
  <c r="O56" i="15"/>
  <c r="H56" i="15"/>
  <c r="K56" i="15"/>
  <c r="M56" i="15"/>
  <c r="N48" i="15"/>
  <c r="L48" i="15"/>
  <c r="O48" i="15"/>
  <c r="J48" i="15"/>
  <c r="K48" i="15"/>
  <c r="M48" i="15"/>
  <c r="I48" i="15"/>
  <c r="H48" i="15"/>
  <c r="P48" i="15"/>
  <c r="P35" i="15"/>
  <c r="J35" i="15"/>
  <c r="K35" i="15"/>
  <c r="L35" i="15"/>
  <c r="N35" i="15"/>
  <c r="H35" i="15"/>
  <c r="O35" i="15"/>
  <c r="M35" i="15"/>
  <c r="I35" i="15"/>
  <c r="N64" i="15"/>
  <c r="L64" i="15"/>
  <c r="O64" i="15"/>
  <c r="J64" i="15"/>
  <c r="K64" i="15"/>
  <c r="M64" i="15"/>
  <c r="I64" i="15"/>
  <c r="H64" i="15"/>
  <c r="P64" i="15"/>
  <c r="O25" i="15"/>
  <c r="K25" i="15"/>
  <c r="P25" i="15"/>
  <c r="J25" i="15"/>
  <c r="N25" i="15"/>
  <c r="I25" i="15"/>
  <c r="M25" i="15"/>
  <c r="H25" i="15"/>
  <c r="L25" i="15"/>
  <c r="M8" i="15"/>
  <c r="L8" i="15"/>
  <c r="I8" i="15"/>
  <c r="N8" i="15"/>
  <c r="O8" i="15"/>
  <c r="P8" i="15"/>
  <c r="I39" i="4" s="1"/>
  <c r="J8" i="15"/>
  <c r="K8" i="15"/>
  <c r="H8" i="15"/>
  <c r="L16" i="15"/>
  <c r="M16" i="15"/>
  <c r="I16" i="15"/>
  <c r="O16" i="15"/>
  <c r="N16" i="15"/>
  <c r="P16" i="15"/>
  <c r="J16" i="15"/>
  <c r="K16" i="15"/>
  <c r="H16" i="15"/>
  <c r="N10" i="15"/>
  <c r="M10" i="15"/>
  <c r="I10" i="15"/>
  <c r="L10" i="15"/>
  <c r="J10" i="15"/>
  <c r="K10" i="15"/>
  <c r="H10" i="15"/>
  <c r="M11" i="15"/>
  <c r="P11" i="15"/>
  <c r="I11" i="15"/>
  <c r="O11" i="15"/>
  <c r="L11" i="15"/>
  <c r="N11" i="15"/>
  <c r="H11" i="15"/>
  <c r="J11" i="15"/>
  <c r="K11" i="15"/>
  <c r="M14" i="15"/>
  <c r="N14" i="15"/>
  <c r="I14" i="15"/>
  <c r="P14" i="15"/>
  <c r="O14" i="15"/>
  <c r="L14" i="15"/>
  <c r="K14" i="15"/>
  <c r="H14" i="15"/>
  <c r="J14" i="15"/>
  <c r="M18" i="15"/>
  <c r="I18" i="15"/>
  <c r="P18" i="15"/>
  <c r="O18" i="15"/>
  <c r="N18" i="15"/>
  <c r="L18" i="15"/>
  <c r="H18" i="15"/>
  <c r="K18" i="15"/>
  <c r="J18" i="15"/>
  <c r="O17" i="15"/>
  <c r="M17" i="15"/>
  <c r="P17" i="15"/>
  <c r="I17" i="15"/>
  <c r="L17" i="15"/>
  <c r="N17" i="15"/>
  <c r="J17" i="15"/>
  <c r="K17" i="15"/>
  <c r="H17" i="15"/>
  <c r="M12" i="15"/>
  <c r="N12" i="15"/>
  <c r="I12" i="15"/>
  <c r="P12" i="15"/>
  <c r="O12" i="15"/>
  <c r="L12" i="15"/>
  <c r="H12" i="15"/>
  <c r="J12" i="15"/>
  <c r="K12" i="15"/>
  <c r="P15" i="15"/>
  <c r="O15" i="15"/>
  <c r="I15" i="15"/>
  <c r="L15" i="15"/>
  <c r="N15" i="15"/>
  <c r="M15" i="15"/>
  <c r="H15" i="15"/>
  <c r="J15" i="15"/>
  <c r="K15" i="15"/>
  <c r="L13" i="15"/>
  <c r="N13" i="15"/>
  <c r="O13" i="15"/>
  <c r="M13" i="15"/>
  <c r="P13" i="15"/>
  <c r="I13" i="15"/>
  <c r="H13" i="15"/>
  <c r="J13" i="15"/>
  <c r="K13" i="15"/>
  <c r="P19" i="15"/>
  <c r="O19" i="15"/>
  <c r="M19" i="15"/>
  <c r="L19" i="15"/>
  <c r="N19" i="15"/>
  <c r="I19" i="15"/>
  <c r="K19" i="15"/>
  <c r="H19" i="15"/>
  <c r="J19" i="15"/>
  <c r="D47" i="9"/>
  <c r="C35" i="9"/>
  <c r="C37" i="9"/>
  <c r="C41" i="9"/>
  <c r="C39" i="9"/>
  <c r="C28" i="9"/>
  <c r="C43" i="9"/>
  <c r="C40" i="9"/>
  <c r="C29" i="9"/>
  <c r="C32" i="9"/>
  <c r="C34" i="9"/>
  <c r="C27" i="9"/>
  <c r="C31" i="9"/>
  <c r="C33" i="9"/>
  <c r="C38" i="9"/>
  <c r="C42" i="9"/>
  <c r="C44" i="9"/>
  <c r="C36" i="9"/>
  <c r="H75" i="12"/>
  <c r="L75" i="12"/>
  <c r="K85" i="4" l="1"/>
  <c r="D86" i="4" s="1"/>
  <c r="M24" i="15"/>
  <c r="I24" i="15"/>
  <c r="O24" i="15"/>
  <c r="J24" i="15"/>
  <c r="N24" i="15"/>
  <c r="H24" i="15"/>
  <c r="L24" i="15"/>
  <c r="P24" i="15"/>
  <c r="K24" i="15"/>
  <c r="D49" i="9"/>
  <c r="K86" i="4" l="1"/>
  <c r="O23" i="15"/>
  <c r="K23" i="15"/>
  <c r="N23" i="15"/>
  <c r="I23" i="15"/>
  <c r="M23" i="15"/>
  <c r="H23" i="15"/>
  <c r="L23" i="15"/>
  <c r="P23" i="15"/>
  <c r="J23" i="15"/>
  <c r="D50" i="9"/>
  <c r="F11" i="4"/>
  <c r="F76" i="1" l="1"/>
  <c r="F70" i="1"/>
  <c r="F77" i="1"/>
  <c r="M22" i="15"/>
  <c r="I22" i="15"/>
  <c r="N22" i="15"/>
  <c r="H22" i="15"/>
  <c r="L22" i="15"/>
  <c r="P22" i="15"/>
  <c r="K22" i="15"/>
  <c r="O22" i="15"/>
  <c r="J22" i="15"/>
  <c r="H49" i="12"/>
  <c r="D11" i="4"/>
  <c r="I49" i="12"/>
  <c r="L6" i="12"/>
  <c r="K89" i="4" l="1"/>
  <c r="K78" i="4"/>
  <c r="K79" i="4" s="1"/>
  <c r="K81" i="4" s="1"/>
  <c r="O21" i="15"/>
  <c r="K21" i="15"/>
  <c r="M21" i="15"/>
  <c r="H21" i="15"/>
  <c r="L21" i="15"/>
  <c r="P21" i="15"/>
  <c r="J21" i="15"/>
  <c r="N21" i="15"/>
  <c r="I21" i="15"/>
  <c r="F71" i="1"/>
  <c r="F73" i="1" s="1"/>
  <c r="F74" i="1" s="1"/>
  <c r="L51" i="12"/>
  <c r="H78" i="1"/>
  <c r="H80" i="1" s="1"/>
  <c r="D66" i="4" s="1"/>
  <c r="K66" i="4" s="1"/>
  <c r="G78" i="1"/>
  <c r="G80" i="1" s="1"/>
  <c r="D64" i="4" s="1"/>
  <c r="K64" i="4" s="1"/>
  <c r="I51" i="12"/>
  <c r="L14" i="12"/>
  <c r="L26" i="12" s="1"/>
  <c r="M20" i="15" l="1"/>
  <c r="I20" i="15"/>
  <c r="L20" i="15"/>
  <c r="P20" i="15"/>
  <c r="K20" i="15"/>
  <c r="O20" i="15"/>
  <c r="J20" i="15"/>
  <c r="N20" i="15"/>
  <c r="H20" i="15"/>
  <c r="K83" i="4"/>
  <c r="L32" i="12"/>
  <c r="F78" i="1"/>
  <c r="L53" i="12" l="1"/>
  <c r="F80" i="1"/>
  <c r="D62" i="4" s="1"/>
  <c r="K62" i="4" l="1"/>
  <c r="K67" i="4" s="1"/>
  <c r="L78" i="12"/>
  <c r="K71" i="4" l="1"/>
  <c r="K88" i="4" l="1"/>
  <c r="K90" i="4"/>
  <c r="D91" i="4" s="1"/>
  <c r="K93" i="4" l="1"/>
  <c r="K97" i="4" s="1"/>
  <c r="K110" i="4" s="1"/>
  <c r="F117" i="4" l="1"/>
  <c r="F118" i="4" s="1"/>
  <c r="K112" i="4"/>
  <c r="D111" i="4" s="1"/>
  <c r="A121" i="4" l="1"/>
  <c r="A117" i="4"/>
  <c r="A114" i="4"/>
  <c r="A115" i="4"/>
  <c r="J117" i="4"/>
  <c r="A116" i="4"/>
  <c r="G117" i="4"/>
  <c r="K117" i="4" s="1"/>
  <c r="A122" i="4"/>
  <c r="G116" i="4"/>
  <c r="K116" i="4" s="1"/>
  <c r="A119" i="4"/>
  <c r="A118" i="4"/>
  <c r="J116" i="4" l="1"/>
  <c r="N25" i="10"/>
  <c r="N28" i="10" l="1"/>
  <c r="N26" i="10"/>
</calcChain>
</file>

<file path=xl/comments1.xml><?xml version="1.0" encoding="utf-8"?>
<comments xmlns="http://schemas.openxmlformats.org/spreadsheetml/2006/main">
  <authors>
    <author>Jardin, Andreas (OFD, St 25)</author>
    <author>Andreas Jardin</author>
    <author>AJA</author>
  </authors>
  <commentList>
    <comment ref="D5" authorId="0" shapeId="0">
      <text>
        <r>
          <rPr>
            <sz val="9"/>
            <color indexed="81"/>
            <rFont val="Tahoma"/>
            <family val="2"/>
          </rPr>
          <t>Unter „Lage des Grundstücks“ ist die Anschrift des Bewertungsobjekts einzutragen. Sofern es sich um ein Wohnungs- oder Teileigentum handelt, ist ergänzend die Wohnungs- oder Teileigentumsnummer oder eine andere nachvollziehbare Bezeichnung, wie beispielsweise „1. OG links“ oder „SE 1“, anzugeben.</t>
        </r>
      </text>
    </comment>
    <comment ref="D7" authorId="0" shapeId="0">
      <text>
        <r>
          <rPr>
            <sz val="9"/>
            <color indexed="81"/>
            <rFont val="Tahoma"/>
            <family val="2"/>
          </rPr>
          <t xml:space="preserve">In diesem Feld ist die zutreffende Grundstücksart über eine Auswahl im „Pull-Down-Menü“ anzugeben. Bei Ein- und Zweifamilienhäusern (EFH/ZFH) besteht die Option, verschiedene Gebäudearten zu differenzieren. Insbesondere bei Geschäftsgrundstücken ist die Arbeitshilfe nur bei Standardobjekten anwendbar (vgl. Anleitung zur Berechnung der Kaufpreisaufteilung).
</t>
        </r>
      </text>
    </comment>
    <comment ref="F9" authorId="0" shapeId="0">
      <text>
        <r>
          <rPr>
            <sz val="9"/>
            <color indexed="81"/>
            <rFont val="Tahoma"/>
            <family val="2"/>
          </rPr>
          <t xml:space="preserve">Der Zeitpunkt, auf den die Berechnung zur Kaufpreisaufteilung durchzuführen ist, ist der Zeitpunkt des Abschlusses des Kaufvertrages. Der Nutzen- und Lastenwechsel ist für die Kaufpreisaufteilung nicht maßgeblich. 
Bitte geben Sie das Datum in nachfolgendem Format an: TT.MM.JJJJ
</t>
        </r>
      </text>
    </comment>
    <comment ref="I9" authorId="0" shapeId="0">
      <text>
        <r>
          <rPr>
            <sz val="9"/>
            <color indexed="81"/>
            <rFont val="Tahoma"/>
            <family val="2"/>
          </rPr>
          <t xml:space="preserve">Neben dem Kaufpreis sind auch die Anschaffungsnebenkosten, wie beispielsweise die Grunderwerbsteuer, Maklergebühren und Notarkosten, zu berücksichtigen.
</t>
        </r>
      </text>
    </comment>
    <comment ref="F11" authorId="0" shapeId="0">
      <text>
        <r>
          <rPr>
            <sz val="9"/>
            <color indexed="81"/>
            <rFont val="Tahoma"/>
            <family val="2"/>
          </rPr>
          <t>Als Baujahr ist regelmäßig das Jahr der Bezugsfertigkeit des Gebäudes (ursprüngliches Baujahr) anzugeben. Die Bezugsfertigkeit ist gegeben, wenn das Gebäude bzw. der Gebäudeteil von den künftigen Bewohnern oder sonstigen Benutzern nach objektiven Verhältnissen genutzt werden kann. Die Abnahme durch die Bauaufsichtsbehörde ist nicht entscheidend. Die Angabe des Baujahrs ist für die Wertminderung wegen Alters des Gebäudes von Bedeutung. Sofern Kenntnisse vorliegen, dass an dem Gebäude in den letzten zwanzig Jahren vor Anschaffung des Gebäudes Modernisierungsmaßnahmen durchgeführt wurden, kann fiktiv ein späteres Baujahr angenommen werden. Dabei ist zu berücksichtigen, dass bei länger als zehn Jahre zurückliegenden Modernisierungen diese max. als „teilweise Modernisierungen“ erfasst werden können. Länger als zwanzig Jahre zurückliegende Modernisierungen können nicht berücksichtigt werden. Das fiktive Baujahr kann unter Verwendung des Tabellenblatts „Fiktives Baujahr“ ermittelt werden. Es wird anschließend automatisch in die Berechnung zur Kaufpreisaufteilung (Tabellenblatt „KPA“) aufgenommen. Bitte fügen Sie in diesen Fällen neben der Berechnung zur Kaufpreisaufteilung (Tabellenblatt „KPA“) auch die Nebenrechnung zur Ermittlung des „fiktiven Baujahrs“ (Tabellenblatt „KPA 1a“) bei.</t>
        </r>
      </text>
    </comment>
    <comment ref="I11" authorId="0" shapeId="0">
      <text>
        <r>
          <rPr>
            <sz val="9"/>
            <color indexed="81"/>
            <rFont val="Tahoma"/>
            <family val="2"/>
          </rPr>
          <t>Bei Wohngrundstücken ist die Wohnfläche insbesondere nach Maßgabe der Verordnung zur Berechnung der Wohnfläche (Wohnflächenverordnung - WoFlV) anzugeben. 
Bei Geschäftsgrundstücken ist die Nutzfläche grundsätzlich nach der DIN 277 zu ermitteln. Sofern nach Aktenlage die Ermittlung der Nutzfläche nach der Richtlinie zur Berechnung der Mietfläche für gewerblichen Raum MF/G der gif (Gesellschaft für Immobilienwirtschaftliche Forschung e. V.) oder vergleichbarer Regelwerke erfolgte, bestehen keine Bedenken, diese hilfsweise anzuwenden.</t>
        </r>
        <r>
          <rPr>
            <b/>
            <sz val="9"/>
            <color indexed="81"/>
            <rFont val="Tahoma"/>
            <family val="2"/>
          </rPr>
          <t xml:space="preserve">
</t>
        </r>
      </text>
    </comment>
    <comment ref="D13" authorId="0" shapeId="0">
      <text>
        <r>
          <rPr>
            <sz val="9"/>
            <color indexed="81"/>
            <rFont val="Tahoma"/>
            <family val="2"/>
          </rPr>
          <t xml:space="preserve">Anzugeben ist die Anzahl der erworbenen Garagenstellplätze. Als Garagenstellplätze gelten nur allseitig umschlossene Stellplätze für Personenkraftwagen. Carports gehören somit nicht zu Garagenstellplätzen. Stellplätze im Freien und Carports sind pauschal über die Außenanlagen (pauschaler Zuschlag zu den typisierten Herstellungskosten / THK) erfasst.
</t>
        </r>
      </text>
    </comment>
    <comment ref="I13" authorId="0" shapeId="0">
      <text>
        <r>
          <rPr>
            <sz val="9"/>
            <color indexed="81"/>
            <rFont val="Tahoma"/>
            <family val="2"/>
          </rPr>
          <t>Anzugeben ist die Anzahl der erworbenen Tiefgaragenstellplätze.</t>
        </r>
      </text>
    </comment>
    <comment ref="D15" authorId="0" shapeId="0">
      <text>
        <r>
          <rPr>
            <sz val="9"/>
            <color indexed="81"/>
            <rFont val="Tahoma"/>
            <family val="2"/>
          </rPr>
          <t>Bei Wohnungseigentum ist der Miteigentumsanteil anzugeben. Der Miteigentumsanteil ist im Wohnungseigentumsrecht (§§ 1008 ff. BGB, WEG) ein rechnerischer Bruchteil am gemeinschaftlichen Eigentum einer Wohnungseigentümergemeinschaft. In der Regel werden die Bruchstücke als Teile von 1.000 angegeben, bei größeren Objekten auch von 10.000 oder mehr [z. B. 70 (Zähler) / 1000 (Nenner)].
Entsprechendes gilt bei Teileigentum.</t>
        </r>
      </text>
    </comment>
    <comment ref="I15" authorId="0" shapeId="0">
      <text>
        <r>
          <rPr>
            <sz val="9"/>
            <color indexed="81"/>
            <rFont val="Tahoma"/>
            <family val="2"/>
          </rPr>
          <t>Bei Wohnungseigentum ist der Miteigentumsanteil anzugeben. Der Miteigentumsanteil ist im Wohnungseigentumsrecht (§§ 1008 ff. BGB, WEG) ein rechnerischer Bruchteil am gemeinschaftlichen Eigentum einer Wohnungseigentümergemeinschaft. In der Regel werden die Bruchstücke als Teile von 1.000 angegeben, bei größeren Objekten auch von 10.000 oder mehr [z. B. 70 (Zähler) / 1000 (Nenner)].
Entsprechendes gilt bei Teileigentum.</t>
        </r>
      </text>
    </comment>
    <comment ref="D17" authorId="0" shapeId="0">
      <text>
        <r>
          <rPr>
            <sz val="9"/>
            <color indexed="81"/>
            <rFont val="Tahoma"/>
            <family val="2"/>
          </rPr>
          <t>In der Regel (Ausnahme vgl. zu Ziffern 13 und 14) ist hier die gesamte Größe des Grundstücks in m² anzugeben. Es bestehen keine Bedenken, als Grundstücksgröße die Summe der im Kaufvertrag genannten Grundstücksgrößen (Flurstücke) zu erfassen.</t>
        </r>
      </text>
    </comment>
    <comment ref="I17" authorId="0" shapeId="0">
      <text>
        <r>
          <rPr>
            <sz val="9"/>
            <color indexed="81"/>
            <rFont val="Tahoma"/>
            <family val="2"/>
          </rPr>
          <t>Der Bodenrichtwert (§ 196 Absatz 1 BauGB) ist der durchschnittliche Lagewert des Bodens für eine Mehrheit von Grundstücken innerhalb eines abgegrenzten Gebiets (Bodenrichtwertzone), die nach ihren Grundstücksmerkmalen (§ 4 Absatz 2 Immobilienwertermittlungsverordnung - ImmoWertV) weitgehend übereinstimmen und für die im Wesentlichen gleiche allgemeine Wertverhältnisse (§ 3 Absatz 2 ImmoWertV) vorliegen. Er ist bezogen auf den Quadratmeter Grundstücksfläche eines Grundstücks mit den dargestellten Grundstücksmerkmalen (Bodenrichtwertgrundstück). Anzugeben ist der Bodenrichtwert, der für die jeweilige Bodenrichtwertzone von dem zuständigen Gutachterausschuss beim Kreis oder bei der Gemeinde bzw. Stadt gemäß § 196 des Baugesetzbuchs (BauGB) turnusmäßig zum letzten Ermittlungsstichtag vor dem Abschluss des Kaufvertrages ermittelt wurde. Auf die in der Berechnung integrierte Verlinkung zu entsprechenden Auskunftsstellen wird hingewiesen.</t>
        </r>
      </text>
    </comment>
    <comment ref="F20" authorId="0" shapeId="0">
      <text>
        <r>
          <rPr>
            <sz val="9"/>
            <color indexed="81"/>
            <rFont val="Tahoma"/>
            <family val="2"/>
          </rPr>
          <t xml:space="preserve">In besonderen Einzelfällen kann es erforderlich sein, hinsichtlich der Grundstücksgröße und den Wertverhältnissen zu differenzieren.
Kommen für ein Grundstück beispielsweise unterschiedliche Bodenrichtwerte in Betracht, besteht die Möglichkeit dies über differenzierte Flächenangaben zu erfassen.
Ist das Grundstück insbesondere größer als die vom zuständigen Gutachterausschuss veröffentlichte wertbestimmende Grundstücksgröße des Bodenrichtwertgrundstücks und liegen sogenannte nicht eigenständig verwertbare Teilflächen (vgl. § 17 Abs. 2 Satz 2 Immobilienwertermittlungsverordnung: „selbständig nutzbare Teilflächen“) vor, bestehen keine Bedenken, im Rahmen der Kaufpreisaufteilung diese Teilflächen regelmäßig mit 25 Prozent des Bodenrichtwerts zu bewerten. Sofern vom Gutachterausschuss keine wertbestimmende Grundstücksgröße für das Bodenrichtwertgrundstück veröffentlicht wurde, kann bei Ein- und Zweifamilienhäusern hilfsweise als übliche Grundstücksgröße 500 m² angenommen werden. </t>
        </r>
      </text>
    </comment>
    <comment ref="I20" authorId="0" shapeId="0">
      <text>
        <r>
          <rPr>
            <sz val="9"/>
            <color indexed="81"/>
            <rFont val="Tahoma"/>
            <family val="2"/>
          </rPr>
          <t xml:space="preserve">In besonderen Einzelfällen kann es erforderlich sein, hinsichtlich der Grundstücksgröße und den Wertverhältnissen zu differenzieren.
Kommen für ein Grundstück beispielsweise unterschiedliche Bodenrichtwerte in Betracht, besteht die Möglichkeit dies über differenzierte Flächenangaben zu erfassen.
Ist das Grundstück insbesondere größer als die vom zuständigen Gutachterausschuss veröffentlichte wertbestimmende Grundstücksgröße des Bodenrichtwertgrundstücks und liegen sogenannte nicht eigenständig verwertbare Teilflächen (vgl. § 17 Abs. 2 Satz 2 Immobilienwertermittlungsverordnung: „selbständig nutzbare Teilflächen“) vor, bestehen keine Bedenken, im Rahmen der Kaufpreisaufteilung diese Teilflächen regelmäßig mit 25 Prozent des Bodenrichtwerts zu bewerten. Sofern vom Gutachterausschuss keine wertbestimmende Grundstücksgröße für das Bodenrichtwertgrundstück veröffentlicht wurde, kann bei Ein- und Zweifamilienhäusern hilfsweise als übliche Grundstücksgröße 500 m² angenommen werden.
</t>
        </r>
        <r>
          <rPr>
            <b/>
            <sz val="9"/>
            <color indexed="81"/>
            <rFont val="Tahoma"/>
            <family val="2"/>
          </rPr>
          <t xml:space="preserve"> 
Herkunft der Bodenrichtwerte:</t>
        </r>
        <r>
          <rPr>
            <sz val="9"/>
            <color indexed="81"/>
            <rFont val="Tahoma"/>
            <family val="2"/>
          </rPr>
          <t xml:space="preserve"> Örtlicher Gutachterausschuss bzw. Bodenrichtwertinformationssystem des jeweilgen Bundeslandes.</t>
        </r>
      </text>
    </comment>
    <comment ref="F26" authorId="1" shapeId="0">
      <text>
        <r>
          <rPr>
            <b/>
            <sz val="9"/>
            <color indexed="81"/>
            <rFont val="Segoe UI"/>
            <family val="2"/>
          </rPr>
          <t xml:space="preserve">Auswahlfeld:
Ja </t>
        </r>
        <r>
          <rPr>
            <sz val="9"/>
            <color indexed="81"/>
            <rFont val="Segoe UI"/>
            <family val="2"/>
          </rPr>
          <t>oder</t>
        </r>
        <r>
          <rPr>
            <b/>
            <sz val="9"/>
            <color indexed="81"/>
            <rFont val="Segoe UI"/>
            <family val="2"/>
          </rPr>
          <t xml:space="preserve"> Nein</t>
        </r>
        <r>
          <rPr>
            <sz val="9"/>
            <color indexed="81"/>
            <rFont val="Segoe UI"/>
            <family val="2"/>
          </rPr>
          <t xml:space="preserve">
</t>
        </r>
      </text>
    </comment>
    <comment ref="I26" authorId="1" shapeId="0">
      <text>
        <r>
          <rPr>
            <sz val="9"/>
            <color indexed="81"/>
            <rFont val="Segoe UI"/>
            <family val="2"/>
          </rPr>
          <t>Üblicherweise bezieht sich der Vergleichsfaktor auf die Wohn- bzw. Nutzfläche. Im Bereich einzelner Gutachterausschüsse wird auch die Bruttogrundfläche als Bezugsmaßstab angewandt. Die Information ist den Informationen zum Vergleichsfaktor, hierbei insbesondere dem Grundstücksmarktbericht, zu entnehmen.</t>
        </r>
      </text>
    </comment>
    <comment ref="D28" authorId="1" shapeId="0">
      <text>
        <r>
          <rPr>
            <b/>
            <sz val="9"/>
            <color indexed="81"/>
            <rFont val="Segoe UI"/>
            <charset val="1"/>
          </rPr>
          <t xml:space="preserve">Vergleichsfaktoren dienen der Ermittlung von Vergleichswerten für bebaute Grundstücke, hier Wohnungseigentum: 
</t>
        </r>
        <r>
          <rPr>
            <sz val="9"/>
            <color indexed="81"/>
            <rFont val="Segoe UI"/>
            <family val="2"/>
          </rPr>
          <t xml:space="preserve">- Vergleichsfaktoren sind durchschnittliche, auf eine geeignete Bezugseinheit bezogene Werte für Grundstücke mit bestimmten wertbeeinflussenden Grundstücksmerkmalen (Normobjekte).
- Zur Ermittlung des objektspezifisch angepassten Vergleichsfaktors ist in dem hier vereinfachten Verfahren nach Möglichkeit (d.h. sofern zum Normobjekt abweichende Merkmale bekannt) der ermittelte Vergleichsfaktor auf seine Eignung zu prüfen und bei etwaigen Abweichungen an die Gegebenheiten des Wertermittlungsobjekts anzupassen.
</t>
        </r>
        <r>
          <rPr>
            <b/>
            <sz val="9"/>
            <color indexed="81"/>
            <rFont val="Segoe UI"/>
            <family val="2"/>
          </rPr>
          <t xml:space="preserve">
Herkunft der Vergleichsfaktoren: </t>
        </r>
        <r>
          <rPr>
            <sz val="9"/>
            <color indexed="81"/>
            <rFont val="Segoe UI"/>
            <family val="2"/>
          </rPr>
          <t>Örtlicher Gutachterausschuss oder Boden- bzw. Immobilienrichtwertinformationssystem des jeweilgen Bundeslandes.</t>
        </r>
        <r>
          <rPr>
            <sz val="9"/>
            <color indexed="81"/>
            <rFont val="Segoe UI"/>
            <charset val="1"/>
          </rPr>
          <t xml:space="preserve">
</t>
        </r>
      </text>
    </comment>
    <comment ref="H28" authorId="1" shapeId="0">
      <text>
        <r>
          <rPr>
            <b/>
            <sz val="9"/>
            <color indexed="81"/>
            <rFont val="Segoe UI"/>
            <family val="2"/>
          </rPr>
          <t>Sofern objektspezifisch angepasster Vergleichsfaktor angegeben:</t>
        </r>
        <r>
          <rPr>
            <sz val="9"/>
            <color indexed="81"/>
            <rFont val="Segoe UI"/>
            <family val="2"/>
          </rPr>
          <t xml:space="preserve">
Erläuterung der Merkmale und Anpassungshöhe.
</t>
        </r>
      </text>
    </comment>
    <comment ref="F31" authorId="1" shapeId="0">
      <text>
        <r>
          <rPr>
            <b/>
            <sz val="9"/>
            <color indexed="81"/>
            <rFont val="Segoe UI"/>
            <family val="2"/>
          </rPr>
          <t xml:space="preserve">Vergleichsfaktoren dienen der Ermittlung von Vergleichswerten für bebaute Grundstücke, hier Garagenstellplätze: 
</t>
        </r>
        <r>
          <rPr>
            <sz val="9"/>
            <color indexed="81"/>
            <rFont val="Segoe UI"/>
            <family val="2"/>
          </rPr>
          <t xml:space="preserve">Vergleichsfaktoren sind durchschnittliche, auf </t>
        </r>
        <r>
          <rPr>
            <b/>
            <sz val="9"/>
            <color indexed="81"/>
            <rFont val="Segoe UI"/>
            <family val="2"/>
          </rPr>
          <t>einen</t>
        </r>
        <r>
          <rPr>
            <sz val="9"/>
            <color indexed="81"/>
            <rFont val="Segoe UI"/>
            <family val="2"/>
          </rPr>
          <t xml:space="preserve"> Garagenstellplatz bezogene Werte.
</t>
        </r>
        <r>
          <rPr>
            <b/>
            <sz val="9"/>
            <color indexed="81"/>
            <rFont val="Segoe UI"/>
            <family val="2"/>
          </rPr>
          <t xml:space="preserve">
Herkunft der Vergleichsfaktoren:</t>
        </r>
        <r>
          <rPr>
            <sz val="9"/>
            <color indexed="81"/>
            <rFont val="Segoe UI"/>
            <family val="2"/>
          </rPr>
          <t xml:space="preserve"> Örtlicher Gutachterausschuss oder Boden- bzw. Immobilienrichtwertinformationssystem des jeweilgen Bundeslandes.
</t>
        </r>
      </text>
    </comment>
    <comment ref="F32" authorId="1" shapeId="0">
      <text>
        <r>
          <rPr>
            <b/>
            <sz val="9"/>
            <color indexed="81"/>
            <rFont val="Segoe UI"/>
            <family val="2"/>
          </rPr>
          <t xml:space="preserve">Vergleichsfaktoren dienen der Ermittlung von Vergleichswerten für bebaute Grundstücke, hier Tiefgaragenstellplätze:
</t>
        </r>
        <r>
          <rPr>
            <sz val="9"/>
            <color indexed="81"/>
            <rFont val="Segoe UI"/>
            <family val="2"/>
          </rPr>
          <t xml:space="preserve">Vergleichsfaktoren sind durchschnittliche, auf </t>
        </r>
        <r>
          <rPr>
            <b/>
            <sz val="9"/>
            <color indexed="81"/>
            <rFont val="Segoe UI"/>
            <family val="2"/>
          </rPr>
          <t>einen</t>
        </r>
        <r>
          <rPr>
            <sz val="9"/>
            <color indexed="81"/>
            <rFont val="Segoe UI"/>
            <family val="2"/>
          </rPr>
          <t xml:space="preserve"> Tiefgaragenstellplatz bezogene Werte.
</t>
        </r>
        <r>
          <rPr>
            <b/>
            <sz val="9"/>
            <color indexed="81"/>
            <rFont val="Segoe UI"/>
            <family val="2"/>
          </rPr>
          <t xml:space="preserve">
Herkunft der Vergleichsfaktoren:</t>
        </r>
        <r>
          <rPr>
            <sz val="9"/>
            <color indexed="81"/>
            <rFont val="Segoe UI"/>
            <family val="2"/>
          </rPr>
          <t xml:space="preserve"> Örtlicher Gutachterausschuss oder Boden- bzw. Immobilienrichtwertinformationssystem des jeweilgen Bundeslandes.
</t>
        </r>
      </text>
    </comment>
    <comment ref="I36" authorId="2" shapeId="0">
      <text>
        <r>
          <rPr>
            <sz val="9"/>
            <color indexed="81"/>
            <rFont val="Segoe UI"/>
            <family val="2"/>
          </rPr>
          <t>Der Liegenschaftszinssatz ist die für eine spezifische Grundstücksart nach dem Ertragswertmodell der ImmoWertV abgeleitete Verzinsung. Dieser wird idR. durch die örtlichen Gutachterausschüsse in den Grundstücksmarktberichten veröffentlicht. 
Sofern kein Liegenschaftszinssatz vorliegt bzw. bekannt ist, so wird im Rahmen dieser Arbeitshilfe hilfsweise ein Zinssatz in Abhängigkeit von der Grundstücksart, dem Datum des Kaufvertrages und der Höhe des Bodenrichtwertes als Schätzung beigestellt.</t>
        </r>
      </text>
    </comment>
    <comment ref="F37" authorId="1" shapeId="0">
      <text>
        <r>
          <rPr>
            <b/>
            <sz val="9"/>
            <color indexed="81"/>
            <rFont val="Segoe UI"/>
            <family val="2"/>
          </rPr>
          <t xml:space="preserve">Auswahlfeld:
Ja </t>
        </r>
        <r>
          <rPr>
            <sz val="9"/>
            <color indexed="81"/>
            <rFont val="Segoe UI"/>
            <family val="2"/>
          </rPr>
          <t>oder</t>
        </r>
        <r>
          <rPr>
            <b/>
            <sz val="9"/>
            <color indexed="81"/>
            <rFont val="Segoe UI"/>
            <family val="2"/>
          </rPr>
          <t xml:space="preserve"> Nein</t>
        </r>
      </text>
    </comment>
    <comment ref="F39" authorId="1" shapeId="0">
      <text>
        <r>
          <rPr>
            <b/>
            <sz val="9"/>
            <color indexed="81"/>
            <rFont val="Segoe UI"/>
            <family val="2"/>
          </rPr>
          <t xml:space="preserve">&gt;&gt;&gt; Tatsächliche (vertraglich vereinbarte) Mieten </t>
        </r>
        <r>
          <rPr>
            <sz val="9"/>
            <color indexed="81"/>
            <rFont val="Segoe UI"/>
            <family val="2"/>
          </rPr>
          <t xml:space="preserve">(sog. Nettokaltmieten):
          - ohne frühere Jahre,
          - ohne verrechnete Mietkautionen,
          - ohne Umlagen, verrechnet mit Erstattungen (z. B. Wassergeld, Flur- u. Kellerbeleuchtung, Müllabfuhr, Zentralheizung usw.) und
          - ggf. bei Gewerbeimmobilien incl. verrechneter Umsatzsteuer
(Bei Leerstand wird die ortsübliche Miete angesetzt.)
</t>
        </r>
        <r>
          <rPr>
            <b/>
            <sz val="9"/>
            <color indexed="81"/>
            <rFont val="Segoe UI"/>
            <family val="2"/>
          </rPr>
          <t xml:space="preserve">&gt;&gt;&gt; Die ortsübliche Vergleichsmiete </t>
        </r>
        <r>
          <rPr>
            <sz val="9"/>
            <color indexed="81"/>
            <rFont val="Segoe UI"/>
            <family val="2"/>
          </rPr>
          <t xml:space="preserve">wird gebildet aus den üblichen Entgelten, die in der Gemeinde oder einer vergleichbaren Gemeinde für Wohnraum vergleichbarer </t>
        </r>
        <r>
          <rPr>
            <b/>
            <sz val="9"/>
            <color indexed="81"/>
            <rFont val="Segoe UI"/>
            <family val="2"/>
          </rPr>
          <t>Art, Größe, Ausstattung, Beschaffenheit</t>
        </r>
        <r>
          <rPr>
            <sz val="9"/>
            <color indexed="81"/>
            <rFont val="Segoe UI"/>
            <family val="2"/>
          </rPr>
          <t xml:space="preserve"> und </t>
        </r>
        <r>
          <rPr>
            <b/>
            <sz val="9"/>
            <color indexed="81"/>
            <rFont val="Segoe UI"/>
            <family val="2"/>
          </rPr>
          <t>Lage</t>
        </r>
        <r>
          <rPr>
            <sz val="9"/>
            <color indexed="81"/>
            <rFont val="Segoe UI"/>
            <family val="2"/>
          </rPr>
          <t xml:space="preserve"> einschließlich der </t>
        </r>
        <r>
          <rPr>
            <b/>
            <sz val="9"/>
            <color indexed="81"/>
            <rFont val="Segoe UI"/>
            <family val="2"/>
          </rPr>
          <t>energetischen Ausstattung und Beschaffenheit</t>
        </r>
        <r>
          <rPr>
            <sz val="9"/>
            <color indexed="81"/>
            <rFont val="Segoe UI"/>
            <family val="2"/>
          </rPr>
          <t xml:space="preserve"> in den letzten sechs Jahren vereinbart oder, von Erhöhungen abgesehen, geändert worden sind (vgl. § 558 BGB).</t>
        </r>
      </text>
    </comment>
    <comment ref="F46" authorId="1" shapeId="0">
      <text>
        <r>
          <rPr>
            <sz val="9"/>
            <color indexed="81"/>
            <rFont val="Segoe UI"/>
            <family val="2"/>
          </rPr>
          <t xml:space="preserve">Die durchschnittlichen Herstellungskosten oder die Normalherstellungskosten sind im Regelfall nicht mittels eines Regionalfaktors an die Verhältnisse am örtlichen Grundstücksmarkt einschl. der regionalen Baupreisverhältnisse 
anzupassen. Insbesondere der örtliche zuständige Gutachterausschuss kann jedoch aus besonderem Grund eine Anpassung durch Festlegung eines von 1,0 abweichenden Regionalfaktors vorgeben.
</t>
        </r>
      </text>
    </comment>
  </commentList>
</comments>
</file>

<file path=xl/comments2.xml><?xml version="1.0" encoding="utf-8"?>
<comments xmlns="http://schemas.openxmlformats.org/spreadsheetml/2006/main">
  <authors>
    <author>Jardin, Andreas (OFD-Rhld)</author>
    <author>Jardin, Andreas (OFD, St 25)</author>
  </authors>
  <commentList>
    <comment ref="K2" authorId="0" shapeId="0">
      <text>
        <r>
          <rPr>
            <b/>
            <sz val="8"/>
            <color indexed="81"/>
            <rFont val="Tahoma"/>
            <family val="2"/>
          </rPr>
          <t>weitgehend gemäß Zwischenentwurf</t>
        </r>
      </text>
    </comment>
    <comment ref="E8" authorId="0" shapeId="0">
      <text>
        <r>
          <rPr>
            <b/>
            <sz val="8"/>
            <color indexed="81"/>
            <rFont val="Tahoma"/>
            <family val="2"/>
          </rPr>
          <t>Werte hergleitet!</t>
        </r>
        <r>
          <rPr>
            <sz val="8"/>
            <color indexed="81"/>
            <rFont val="Tahoma"/>
            <family val="2"/>
          </rPr>
          <t xml:space="preserve">
</t>
        </r>
      </text>
    </comment>
    <comment ref="F8" authorId="0" shapeId="0">
      <text>
        <r>
          <rPr>
            <b/>
            <sz val="8"/>
            <color indexed="81"/>
            <rFont val="Tahoma"/>
            <family val="2"/>
          </rPr>
          <t xml:space="preserve">Werte hergleitet!
</t>
        </r>
        <r>
          <rPr>
            <sz val="8"/>
            <color indexed="81"/>
            <rFont val="Tahoma"/>
            <family val="2"/>
          </rPr>
          <t xml:space="preserve">
</t>
        </r>
      </text>
    </comment>
    <comment ref="E9" authorId="0" shapeId="0">
      <text>
        <r>
          <rPr>
            <b/>
            <sz val="8"/>
            <color indexed="81"/>
            <rFont val="Tahoma"/>
            <family val="2"/>
          </rPr>
          <t>Werte hergleitet!</t>
        </r>
        <r>
          <rPr>
            <sz val="8"/>
            <color indexed="81"/>
            <rFont val="Tahoma"/>
            <family val="2"/>
          </rPr>
          <t xml:space="preserve">
</t>
        </r>
      </text>
    </comment>
    <comment ref="F9" authorId="0" shapeId="0">
      <text>
        <r>
          <rPr>
            <b/>
            <sz val="8"/>
            <color indexed="81"/>
            <rFont val="Tahoma"/>
            <family val="2"/>
          </rPr>
          <t xml:space="preserve">Werte hergleitet!
</t>
        </r>
        <r>
          <rPr>
            <sz val="8"/>
            <color indexed="81"/>
            <rFont val="Tahoma"/>
            <family val="2"/>
          </rPr>
          <t xml:space="preserve">
</t>
        </r>
      </text>
    </comment>
    <comment ref="E10" authorId="0" shapeId="0">
      <text>
        <r>
          <rPr>
            <b/>
            <sz val="8"/>
            <color indexed="81"/>
            <rFont val="Tahoma"/>
            <family val="2"/>
          </rPr>
          <t>Werte hergleitet!</t>
        </r>
        <r>
          <rPr>
            <sz val="8"/>
            <color indexed="81"/>
            <rFont val="Tahoma"/>
            <family val="2"/>
          </rPr>
          <t xml:space="preserve">
</t>
        </r>
      </text>
    </comment>
    <comment ref="F10" authorId="0" shapeId="0">
      <text>
        <r>
          <rPr>
            <b/>
            <sz val="8"/>
            <color indexed="81"/>
            <rFont val="Tahoma"/>
            <family val="2"/>
          </rPr>
          <t xml:space="preserve">Werte hergleitet!
</t>
        </r>
        <r>
          <rPr>
            <sz val="8"/>
            <color indexed="81"/>
            <rFont val="Tahoma"/>
            <family val="2"/>
          </rPr>
          <t xml:space="preserve">
</t>
        </r>
      </text>
    </comment>
    <comment ref="D11" authorId="0" shapeId="0">
      <text>
        <r>
          <rPr>
            <b/>
            <sz val="8"/>
            <color indexed="81"/>
            <rFont val="Tahoma"/>
            <family val="2"/>
          </rPr>
          <t>Aufteilung gem SW-RL</t>
        </r>
        <r>
          <rPr>
            <sz val="8"/>
            <color indexed="81"/>
            <rFont val="Tahoma"/>
            <family val="2"/>
          </rPr>
          <t xml:space="preserve">
</t>
        </r>
      </text>
    </comment>
    <comment ref="E11" authorId="0" shapeId="0">
      <text>
        <r>
          <rPr>
            <b/>
            <sz val="8"/>
            <color indexed="81"/>
            <rFont val="Tahoma"/>
            <family val="2"/>
          </rPr>
          <t>Werte hergleitet!</t>
        </r>
        <r>
          <rPr>
            <sz val="8"/>
            <color indexed="81"/>
            <rFont val="Tahoma"/>
            <family val="2"/>
          </rPr>
          <t xml:space="preserve">
</t>
        </r>
      </text>
    </comment>
    <comment ref="F11" authorId="0" shapeId="0">
      <text>
        <r>
          <rPr>
            <b/>
            <sz val="8"/>
            <color indexed="81"/>
            <rFont val="Tahoma"/>
            <family val="2"/>
          </rPr>
          <t xml:space="preserve">Werte hergleitet!
</t>
        </r>
        <r>
          <rPr>
            <sz val="8"/>
            <color indexed="81"/>
            <rFont val="Tahoma"/>
            <family val="2"/>
          </rPr>
          <t xml:space="preserve">
</t>
        </r>
      </text>
    </comment>
    <comment ref="J11" authorId="0" shapeId="0">
      <text>
        <r>
          <rPr>
            <b/>
            <sz val="8"/>
            <color indexed="81"/>
            <rFont val="Tahoma"/>
            <family val="2"/>
          </rPr>
          <t xml:space="preserve">Schätzung basierend auf Modelberechnung
</t>
        </r>
      </text>
    </comment>
    <comment ref="E12" authorId="0" shapeId="0">
      <text>
        <r>
          <rPr>
            <b/>
            <sz val="8"/>
            <color indexed="81"/>
            <rFont val="Tahoma"/>
            <family val="2"/>
          </rPr>
          <t>Werte hergleitet!</t>
        </r>
        <r>
          <rPr>
            <sz val="8"/>
            <color indexed="81"/>
            <rFont val="Tahoma"/>
            <family val="2"/>
          </rPr>
          <t xml:space="preserve">
</t>
        </r>
      </text>
    </comment>
    <comment ref="F12" authorId="0" shapeId="0">
      <text>
        <r>
          <rPr>
            <b/>
            <sz val="8"/>
            <color indexed="81"/>
            <rFont val="Tahoma"/>
            <family val="2"/>
          </rPr>
          <t xml:space="preserve">Werte hergleitet!
</t>
        </r>
        <r>
          <rPr>
            <sz val="8"/>
            <color indexed="81"/>
            <rFont val="Tahoma"/>
            <family val="2"/>
          </rPr>
          <t xml:space="preserve">
</t>
        </r>
      </text>
    </comment>
    <comment ref="J12" authorId="0" shapeId="0">
      <text>
        <r>
          <rPr>
            <b/>
            <sz val="8"/>
            <color indexed="81"/>
            <rFont val="Tahoma"/>
            <family val="2"/>
          </rPr>
          <t xml:space="preserve">Schätzung basierend auf Modelberechnung
</t>
        </r>
      </text>
    </comment>
    <comment ref="D13" authorId="0" shapeId="0">
      <text>
        <r>
          <rPr>
            <b/>
            <sz val="8"/>
            <color indexed="81"/>
            <rFont val="Tahoma"/>
            <family val="2"/>
          </rPr>
          <t>Aufteilung gem SW-RL</t>
        </r>
        <r>
          <rPr>
            <sz val="8"/>
            <color indexed="81"/>
            <rFont val="Tahoma"/>
            <family val="2"/>
          </rPr>
          <t xml:space="preserve">
</t>
        </r>
      </text>
    </comment>
    <comment ref="E13" authorId="0" shapeId="0">
      <text>
        <r>
          <rPr>
            <b/>
            <sz val="8"/>
            <color indexed="81"/>
            <rFont val="Tahoma"/>
            <family val="2"/>
          </rPr>
          <t>Werte hergleitet!</t>
        </r>
        <r>
          <rPr>
            <sz val="8"/>
            <color indexed="81"/>
            <rFont val="Tahoma"/>
            <family val="2"/>
          </rPr>
          <t xml:space="preserve">
</t>
        </r>
      </text>
    </comment>
    <comment ref="F13" authorId="0" shapeId="0">
      <text>
        <r>
          <rPr>
            <b/>
            <sz val="8"/>
            <color indexed="81"/>
            <rFont val="Tahoma"/>
            <family val="2"/>
          </rPr>
          <t xml:space="preserve">Werte hergleitet!
</t>
        </r>
        <r>
          <rPr>
            <sz val="8"/>
            <color indexed="81"/>
            <rFont val="Tahoma"/>
            <family val="2"/>
          </rPr>
          <t xml:space="preserve">
</t>
        </r>
      </text>
    </comment>
    <comment ref="J13" authorId="0" shapeId="0">
      <text>
        <r>
          <rPr>
            <b/>
            <sz val="8"/>
            <color indexed="81"/>
            <rFont val="Tahoma"/>
            <family val="2"/>
          </rPr>
          <t xml:space="preserve">Schätzung basierend auf Modelberechnung
</t>
        </r>
      </text>
    </comment>
    <comment ref="E14" authorId="0" shapeId="0">
      <text>
        <r>
          <rPr>
            <b/>
            <sz val="8"/>
            <color indexed="81"/>
            <rFont val="Tahoma"/>
            <family val="2"/>
          </rPr>
          <t>Werte hergleitet!</t>
        </r>
        <r>
          <rPr>
            <sz val="8"/>
            <color indexed="81"/>
            <rFont val="Tahoma"/>
            <family val="2"/>
          </rPr>
          <t xml:space="preserve">
</t>
        </r>
      </text>
    </comment>
    <comment ref="F14" authorId="0" shapeId="0">
      <text>
        <r>
          <rPr>
            <b/>
            <sz val="8"/>
            <color indexed="81"/>
            <rFont val="Tahoma"/>
            <family val="2"/>
          </rPr>
          <t xml:space="preserve">Werte hergleitet!
</t>
        </r>
        <r>
          <rPr>
            <sz val="8"/>
            <color indexed="81"/>
            <rFont val="Tahoma"/>
            <family val="2"/>
          </rPr>
          <t xml:space="preserve">
</t>
        </r>
      </text>
    </comment>
    <comment ref="J14" authorId="0" shapeId="0">
      <text>
        <r>
          <rPr>
            <b/>
            <sz val="8"/>
            <color indexed="81"/>
            <rFont val="Tahoma"/>
            <family val="2"/>
          </rPr>
          <t xml:space="preserve">Schätzung basierend auf Modelberechnung
</t>
        </r>
      </text>
    </comment>
    <comment ref="E15" authorId="0" shapeId="0">
      <text>
        <r>
          <rPr>
            <b/>
            <sz val="8"/>
            <color indexed="81"/>
            <rFont val="Tahoma"/>
            <family val="2"/>
          </rPr>
          <t>Werte hergleitet!</t>
        </r>
        <r>
          <rPr>
            <sz val="8"/>
            <color indexed="81"/>
            <rFont val="Tahoma"/>
            <family val="2"/>
          </rPr>
          <t xml:space="preserve">
</t>
        </r>
      </text>
    </comment>
    <comment ref="F15" authorId="0" shapeId="0">
      <text>
        <r>
          <rPr>
            <b/>
            <sz val="8"/>
            <color indexed="81"/>
            <rFont val="Tahoma"/>
            <family val="2"/>
          </rPr>
          <t xml:space="preserve">Werte hergleitet!
</t>
        </r>
        <r>
          <rPr>
            <sz val="8"/>
            <color indexed="81"/>
            <rFont val="Tahoma"/>
            <family val="2"/>
          </rPr>
          <t xml:space="preserve">
</t>
        </r>
      </text>
    </comment>
    <comment ref="J15" authorId="0" shapeId="0">
      <text>
        <r>
          <rPr>
            <b/>
            <sz val="8"/>
            <color indexed="81"/>
            <rFont val="Tahoma"/>
            <family val="2"/>
          </rPr>
          <t>Schätzung basierend auf Modelberechnung</t>
        </r>
      </text>
    </comment>
    <comment ref="E16" authorId="0" shapeId="0">
      <text>
        <r>
          <rPr>
            <b/>
            <sz val="8"/>
            <color indexed="81"/>
            <rFont val="Tahoma"/>
            <family val="2"/>
          </rPr>
          <t>Werte hergleitet!</t>
        </r>
        <r>
          <rPr>
            <sz val="8"/>
            <color indexed="81"/>
            <rFont val="Tahoma"/>
            <family val="2"/>
          </rPr>
          <t xml:space="preserve">
</t>
        </r>
      </text>
    </comment>
    <comment ref="F16" authorId="0" shapeId="0">
      <text>
        <r>
          <rPr>
            <b/>
            <sz val="8"/>
            <color indexed="81"/>
            <rFont val="Tahoma"/>
            <family val="2"/>
          </rPr>
          <t xml:space="preserve">Werte hergleitet!
</t>
        </r>
        <r>
          <rPr>
            <sz val="8"/>
            <color indexed="81"/>
            <rFont val="Tahoma"/>
            <family val="2"/>
          </rPr>
          <t xml:space="preserve">
</t>
        </r>
      </text>
    </comment>
    <comment ref="J16" authorId="0" shapeId="0">
      <text>
        <r>
          <rPr>
            <b/>
            <sz val="8"/>
            <color indexed="81"/>
            <rFont val="Tahoma"/>
            <family val="2"/>
          </rPr>
          <t>Schätzung basierend auf Modelberechnung</t>
        </r>
      </text>
    </comment>
    <comment ref="E17" authorId="0" shapeId="0">
      <text>
        <r>
          <rPr>
            <b/>
            <sz val="8"/>
            <color indexed="81"/>
            <rFont val="Tahoma"/>
            <family val="2"/>
          </rPr>
          <t>Werte hergleitet!</t>
        </r>
        <r>
          <rPr>
            <sz val="8"/>
            <color indexed="81"/>
            <rFont val="Tahoma"/>
            <family val="2"/>
          </rPr>
          <t xml:space="preserve">
</t>
        </r>
      </text>
    </comment>
    <comment ref="F17" authorId="0" shapeId="0">
      <text>
        <r>
          <rPr>
            <b/>
            <sz val="8"/>
            <color indexed="81"/>
            <rFont val="Tahoma"/>
            <family val="2"/>
          </rPr>
          <t xml:space="preserve">Werte hergleitet!
</t>
        </r>
        <r>
          <rPr>
            <sz val="8"/>
            <color indexed="81"/>
            <rFont val="Tahoma"/>
            <family val="2"/>
          </rPr>
          <t xml:space="preserve">
</t>
        </r>
      </text>
    </comment>
    <comment ref="J17" authorId="0" shapeId="0">
      <text>
        <r>
          <rPr>
            <b/>
            <sz val="8"/>
            <color indexed="81"/>
            <rFont val="Tahoma"/>
            <family val="2"/>
          </rPr>
          <t>Schätzung basierend auf Modelberechnung</t>
        </r>
      </text>
    </comment>
    <comment ref="E18" authorId="0" shapeId="0">
      <text>
        <r>
          <rPr>
            <b/>
            <sz val="8"/>
            <color indexed="81"/>
            <rFont val="Tahoma"/>
            <family val="2"/>
          </rPr>
          <t>Werte hergleitet!</t>
        </r>
        <r>
          <rPr>
            <sz val="8"/>
            <color indexed="81"/>
            <rFont val="Tahoma"/>
            <family val="2"/>
          </rPr>
          <t xml:space="preserve">
</t>
        </r>
      </text>
    </comment>
    <comment ref="F18" authorId="0" shapeId="0">
      <text>
        <r>
          <rPr>
            <b/>
            <sz val="8"/>
            <color indexed="81"/>
            <rFont val="Tahoma"/>
            <family val="2"/>
          </rPr>
          <t xml:space="preserve">Werte hergleitet!
</t>
        </r>
        <r>
          <rPr>
            <sz val="8"/>
            <color indexed="81"/>
            <rFont val="Tahoma"/>
            <family val="2"/>
          </rPr>
          <t xml:space="preserve">
</t>
        </r>
      </text>
    </comment>
    <comment ref="J18" authorId="0" shapeId="0">
      <text>
        <r>
          <rPr>
            <b/>
            <sz val="8"/>
            <color indexed="81"/>
            <rFont val="Tahoma"/>
            <family val="2"/>
          </rPr>
          <t>Schätzung basierend auf Modelberechnung</t>
        </r>
      </text>
    </comment>
    <comment ref="Q29" authorId="0" shapeId="0">
      <text>
        <r>
          <rPr>
            <b/>
            <sz val="8"/>
            <color indexed="81"/>
            <rFont val="Tahoma"/>
            <family val="2"/>
          </rPr>
          <t>Wert ist nicht plausibel!</t>
        </r>
      </text>
    </comment>
    <comment ref="D31" authorId="1" shapeId="0">
      <text>
        <r>
          <rPr>
            <b/>
            <sz val="9"/>
            <color indexed="81"/>
            <rFont val="Tahoma"/>
            <family val="2"/>
          </rPr>
          <t xml:space="preserve">ermittelt mit Korrekturfaktor 1,05 bezogen auf die Regelherstellungskosten für freistehende Einfamilienhäuser
</t>
        </r>
      </text>
    </comment>
    <comment ref="D32" authorId="1" shapeId="0">
      <text>
        <r>
          <rPr>
            <b/>
            <sz val="9"/>
            <color indexed="81"/>
            <rFont val="Tahoma"/>
            <family val="2"/>
          </rPr>
          <t xml:space="preserve">ermittelt mit Korrekturfaktor 1,05 bezogen auf die Regelherstellungskosten für freistehende Einfamilienhäuser
</t>
        </r>
      </text>
    </comment>
    <comment ref="D33"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D34"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D35"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D36" authorId="1" shapeId="0">
      <text>
        <r>
          <rPr>
            <b/>
            <sz val="9"/>
            <color indexed="81"/>
            <rFont val="Tahoma"/>
            <family val="2"/>
          </rPr>
          <t xml:space="preserve">ermittelt mit Korrekturfaktor 1,05 bezogen auf die Regelherstellungskosten für freistehende Einfamilienhäuser
</t>
        </r>
      </text>
    </comment>
    <comment ref="D37"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D38"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D39"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D40" authorId="1" shapeId="0">
      <text>
        <r>
          <rPr>
            <b/>
            <sz val="9"/>
            <color indexed="81"/>
            <rFont val="Tahoma"/>
            <family val="2"/>
          </rPr>
          <t xml:space="preserve">ermittelt mit Korrekturfaktor 1,05 bezogen auf die Regelherstellungskosten für freistehende Einfamilienhäuser
</t>
        </r>
      </text>
    </comment>
    <comment ref="D41"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D42" authorId="1" shapeId="0">
      <text>
        <r>
          <rPr>
            <b/>
            <sz val="9"/>
            <color indexed="81"/>
            <rFont val="Tahoma"/>
            <family val="2"/>
          </rPr>
          <t xml:space="preserve">ermittelt mit Korrekturfaktor 1,05 bezogen auf die Regelherstellungskosten für freistehende Einfamilienhäuser
</t>
        </r>
      </text>
    </comment>
    <comment ref="G70" authorId="0" shapeId="0">
      <text>
        <r>
          <rPr>
            <b/>
            <sz val="8"/>
            <color indexed="81"/>
            <rFont val="Tahoma"/>
            <family val="2"/>
          </rPr>
          <t>qm Wert aus NHK 2010, Flächen geschätzt</t>
        </r>
        <r>
          <rPr>
            <sz val="8"/>
            <color indexed="81"/>
            <rFont val="Tahoma"/>
            <family val="2"/>
          </rPr>
          <t xml:space="preserve">
</t>
        </r>
      </text>
    </comment>
    <comment ref="H70" authorId="0" shapeId="0">
      <text>
        <r>
          <rPr>
            <b/>
            <sz val="8"/>
            <color indexed="81"/>
            <rFont val="Tahoma"/>
            <family val="2"/>
          </rPr>
          <t>qm Wert aus NHK 2010, Flächen geschätzt</t>
        </r>
        <r>
          <rPr>
            <sz val="8"/>
            <color indexed="81"/>
            <rFont val="Tahoma"/>
            <family val="2"/>
          </rPr>
          <t xml:space="preserve">
</t>
        </r>
      </text>
    </comment>
  </commentList>
</comments>
</file>

<file path=xl/comments3.xml><?xml version="1.0" encoding="utf-8"?>
<comments xmlns="http://schemas.openxmlformats.org/spreadsheetml/2006/main">
  <authors>
    <author>Jardin, Andreas (OFD-Rhld)</author>
    <author>Jardin, Andreas (OFD, St 25)</author>
  </authors>
  <commentList>
    <comment ref="A12" authorId="0" shapeId="0">
      <text>
        <r>
          <rPr>
            <b/>
            <sz val="8"/>
            <color indexed="81"/>
            <rFont val="Tahoma"/>
            <family val="2"/>
          </rPr>
          <t>Aufteilung gem SW-RL</t>
        </r>
        <r>
          <rPr>
            <sz val="8"/>
            <color indexed="81"/>
            <rFont val="Tahoma"/>
            <family val="2"/>
          </rPr>
          <t xml:space="preserve">
</t>
        </r>
      </text>
    </comment>
    <comment ref="A14" authorId="0" shapeId="0">
      <text>
        <r>
          <rPr>
            <b/>
            <sz val="8"/>
            <color indexed="81"/>
            <rFont val="Tahoma"/>
            <family val="2"/>
          </rPr>
          <t>Aufteilung gem SW-RL</t>
        </r>
        <r>
          <rPr>
            <sz val="8"/>
            <color indexed="81"/>
            <rFont val="Tahoma"/>
            <family val="2"/>
          </rPr>
          <t xml:space="preserve">
</t>
        </r>
      </text>
    </comment>
    <comment ref="A32" authorId="1" shapeId="0">
      <text>
        <r>
          <rPr>
            <b/>
            <sz val="9"/>
            <color indexed="81"/>
            <rFont val="Tahoma"/>
            <family val="2"/>
          </rPr>
          <t xml:space="preserve">ermittelt mit Korrekturfaktor 1,05 bezogen auf die Regelherstellungskosten für freistehende Einfamilienhäuser
</t>
        </r>
      </text>
    </comment>
    <comment ref="A33" authorId="1" shapeId="0">
      <text>
        <r>
          <rPr>
            <b/>
            <sz val="9"/>
            <color indexed="81"/>
            <rFont val="Tahoma"/>
            <family val="2"/>
          </rPr>
          <t xml:space="preserve">ermittelt mit Korrekturfaktor 1,05 bezogen auf die Regelherstellungskosten für freistehende Einfamilienhäuser
</t>
        </r>
      </text>
    </comment>
    <comment ref="A34"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A35"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A36"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A37" authorId="1" shapeId="0">
      <text>
        <r>
          <rPr>
            <b/>
            <sz val="9"/>
            <color indexed="81"/>
            <rFont val="Tahoma"/>
            <family val="2"/>
          </rPr>
          <t xml:space="preserve">ermittelt mit Korrekturfaktor 1,05 bezogen auf die Regelherstellungskosten für freistehende Einfamilienhäuser
</t>
        </r>
      </text>
    </comment>
    <comment ref="A38"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A39"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A40"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A41" authorId="1" shapeId="0">
      <text>
        <r>
          <rPr>
            <b/>
            <sz val="9"/>
            <color indexed="81"/>
            <rFont val="Tahoma"/>
            <family val="2"/>
          </rPr>
          <t xml:space="preserve">ermittelt mit Korrekturfaktor 1,05 bezogen auf die Regelherstellungskosten für freistehende Einfamilienhäuser
</t>
        </r>
      </text>
    </comment>
    <comment ref="A42" authorId="1" shapeId="0">
      <text>
        <r>
          <rPr>
            <b/>
            <sz val="9"/>
            <color indexed="81"/>
            <rFont val="Tahoma"/>
            <family val="2"/>
          </rPr>
          <t xml:space="preserve">ermittelt mit Korrekturfaktor 1,05 bezogen auf die Regelherstellungskosten für freistehende Einfamilienhäuser
</t>
        </r>
        <r>
          <rPr>
            <sz val="9"/>
            <color indexed="81"/>
            <rFont val="Tahoma"/>
            <family val="2"/>
          </rPr>
          <t xml:space="preserve">
</t>
        </r>
      </text>
    </comment>
    <comment ref="A43" authorId="1" shapeId="0">
      <text>
        <r>
          <rPr>
            <b/>
            <sz val="9"/>
            <color indexed="81"/>
            <rFont val="Tahoma"/>
            <family val="2"/>
          </rPr>
          <t xml:space="preserve">ermittelt mit Korrekturfaktor 1,05 bezogen auf die Regelherstellungskosten für freistehende Einfamilienhäuser
</t>
        </r>
      </text>
    </comment>
  </commentList>
</comments>
</file>

<file path=xl/sharedStrings.xml><?xml version="1.0" encoding="utf-8"?>
<sst xmlns="http://schemas.openxmlformats.org/spreadsheetml/2006/main" count="542" uniqueCount="348">
  <si>
    <t>1.01</t>
  </si>
  <si>
    <t>2.01</t>
  </si>
  <si>
    <t>3.01</t>
  </si>
  <si>
    <t>1.11</t>
  </si>
  <si>
    <t>2.11</t>
  </si>
  <si>
    <t>3.11</t>
  </si>
  <si>
    <t>1.21</t>
  </si>
  <si>
    <t>2.21</t>
  </si>
  <si>
    <t>3.21</t>
  </si>
  <si>
    <t>1.31</t>
  </si>
  <si>
    <t>2.31</t>
  </si>
  <si>
    <t>3.31</t>
  </si>
  <si>
    <t>1.02</t>
  </si>
  <si>
    <t>2.02</t>
  </si>
  <si>
    <t>3.02</t>
  </si>
  <si>
    <t>1.12</t>
  </si>
  <si>
    <t>2.12</t>
  </si>
  <si>
    <t>3.12</t>
  </si>
  <si>
    <t>1.22</t>
  </si>
  <si>
    <t>2.22</t>
  </si>
  <si>
    <t>3.22</t>
  </si>
  <si>
    <t>1.32</t>
  </si>
  <si>
    <t>2.32</t>
  </si>
  <si>
    <t>3.32</t>
  </si>
  <si>
    <t>freistehende Einfamilienhäuser, 
Erdgeschoss, nicht unterkellert,
Dachgeschoss voll ausgebaut</t>
  </si>
  <si>
    <t>Doppel- und Reihenendhäuser, 
Erdgeschoss, nicht unterkellert,
Dachgeschoss voll ausgebaut</t>
  </si>
  <si>
    <t>Reihenmittelhäuser,
Erdgeschoss, nicht unterkellert,
Dachgeschoss voll ausgebaut</t>
  </si>
  <si>
    <t>freistehende Einfamilienhäuser, 
Erd-, Obergeschoss, nicht unterkellert,
Dachgeschoss voll ausgebaut</t>
  </si>
  <si>
    <t>Doppel- und Reihenendhäuser, 
Erd-, Obergeschoss, nicht unterkellert,
Dachgeschoss voll ausgebaut</t>
  </si>
  <si>
    <t>Reihenmittelhäuser, 
Erd-, Obergeschoss, nicht unterkellert,
Dachgeschoss voll ausgebaut</t>
  </si>
  <si>
    <t>Doppel- und Reihenendhäuser, 
Erdgeschoss, nicht unterkellert,
Dachgeschoss nicht ausgebaut</t>
  </si>
  <si>
    <t>Reihenmittelhäuser,
Erdgeschoss, nicht unterkellert,
Dachgeschoss nicht ausgebaut</t>
  </si>
  <si>
    <t>freistehende Einfamilienhäuser, 
Erd-, Obergeschoss, nicht unterkellert,
Dachgeschoss nicht ausgebaut</t>
  </si>
  <si>
    <t>1.03</t>
  </si>
  <si>
    <t>2.03</t>
  </si>
  <si>
    <t>3.03</t>
  </si>
  <si>
    <t>3.13</t>
  </si>
  <si>
    <t>2.13</t>
  </si>
  <si>
    <t>1.13</t>
  </si>
  <si>
    <t>1.23</t>
  </si>
  <si>
    <t>2.23</t>
  </si>
  <si>
    <t>3.23</t>
  </si>
  <si>
    <t>1.33</t>
  </si>
  <si>
    <t>2.33</t>
  </si>
  <si>
    <t>3.33</t>
  </si>
  <si>
    <t>freistehende Einfamilienhäuser, 
Erdgeschoss, nicht unterkellert,
Flachdach oder flach geneigtes Dach</t>
  </si>
  <si>
    <t>Doppel- und Reihenendhäuser, 
Erdgeschoss, nicht unterkellert,
Flachdach oder flach geneigtes Dach</t>
  </si>
  <si>
    <t>Reihenmittelhäuser,
Erdgeschoss, nicht unterkellert,
Flachdach oder flach geneigtes Dach</t>
  </si>
  <si>
    <t>freistehende Einfamilienhäuser, 
Erd-, Obergeschoss, nicht unterkellert,
Flachdach oder flach geneigtes Dach</t>
  </si>
  <si>
    <t>Doppel- und Reihenendhäuser, 
Erd-, Obergeschoss, nicht unterkellert,
Flachdach oder flach geneigtes Dach</t>
  </si>
  <si>
    <t>Reihenmittelhäuser, 
Erd-, Obergeschoss, nicht unterkellert,
Flachdach oder flach geneigtes Dach</t>
  </si>
  <si>
    <t>Doppel- und Reihenendhäuser, 
Erd-, Obergeschoss, nicht unterkellert,
Dachgeschoss nicht ausgebaut</t>
  </si>
  <si>
    <t>Reihenmittelhäuser, 
Erd-, Obergeschoss, nicht unterkellert,
Dachgeschoss nicht ausgebaut</t>
  </si>
  <si>
    <t>4.1</t>
  </si>
  <si>
    <t>Mehrfamilienhäuser 
mit bis zu 6 WE</t>
  </si>
  <si>
    <t>5.1</t>
  </si>
  <si>
    <t>Banken und Geschäftshäuser 
mit Wohnungen</t>
  </si>
  <si>
    <t>Wohnhäuser
mit Mischnutzung</t>
  </si>
  <si>
    <t>Berechnung</t>
  </si>
  <si>
    <t>Grund und Boden</t>
  </si>
  <si>
    <t>x</t>
  </si>
  <si>
    <t>=</t>
  </si>
  <si>
    <t>Kaufpreisaufteilung</t>
  </si>
  <si>
    <t>Grund und Boden:</t>
  </si>
  <si>
    <t>BGF-Kostenkennwerte</t>
  </si>
  <si>
    <t>Wfl-Kostenkennwerte</t>
  </si>
  <si>
    <t>GND</t>
  </si>
  <si>
    <t>Jahr, Quartal</t>
  </si>
  <si>
    <t>Index:</t>
  </si>
  <si>
    <t>Baupreisindex:</t>
  </si>
  <si>
    <t>Einzelgaragen</t>
  </si>
  <si>
    <t>Tiefgaragen</t>
  </si>
  <si>
    <t>NHK 2010</t>
  </si>
  <si>
    <t xml:space="preserve">Baujahr </t>
  </si>
  <si>
    <t>5.2, 5.3</t>
  </si>
  <si>
    <t>6.1 , 6.2</t>
  </si>
  <si>
    <t>Geschäftsgrundstücke, Bürogebäude</t>
  </si>
  <si>
    <t xml:space="preserve">Ein- und Zweifamilienhäuser [EFH/ZFH]  (ohne weitere Angaben)  </t>
  </si>
  <si>
    <t>Mietwohngrundstücke (Mehrfamilienhäuser)</t>
  </si>
  <si>
    <t>Forschungsbericht BKI</t>
  </si>
  <si>
    <t>BGF/
Wohnfläche
Arbeits-gruppe SW-RL</t>
  </si>
  <si>
    <t>wie Spalte6</t>
  </si>
  <si>
    <t>&lt;1995</t>
  </si>
  <si>
    <t>GND in Jahre</t>
  </si>
  <si>
    <t xml:space="preserve">KKW der THK in  € </t>
  </si>
  <si>
    <t>KKW bei Wohneigentum in €</t>
  </si>
  <si>
    <t>Zwischenwert in €:</t>
  </si>
  <si>
    <t>KKW (THK) €/qm (einschl. Alterswertminderung, Bauindex und Wohnungsgrößenfaktoren (nur ETW)):</t>
  </si>
  <si>
    <t>Bodenwert</t>
  </si>
  <si>
    <r>
      <rPr>
        <b/>
        <sz val="14"/>
        <color indexed="8"/>
        <rFont val="Arial"/>
        <family val="2"/>
      </rPr>
      <t>Statistisches Bundesamt</t>
    </r>
    <r>
      <rPr>
        <b/>
        <sz val="10"/>
        <color indexed="8"/>
        <rFont val="Arial"/>
        <family val="2"/>
      </rPr>
      <t xml:space="preserve">
Fachserie 17 Reihe 4
Preisindizes für die Bauwirtschaf</t>
    </r>
    <r>
      <rPr>
        <sz val="10"/>
        <color theme="1"/>
        <rFont val="Arial"/>
        <family val="2"/>
      </rPr>
      <t xml:space="preserve">t
Preisindizes für den Neubau von Nichtwohngebäuden, Sonstigen Bauwerken und
Absolute Werte (Langfristige Übersicht)
Instandhaltung von Wohngebäuden einschl. Umsatzsteuer *) </t>
    </r>
  </si>
  <si>
    <t>Wert nach Alterswertminderung 
Restwert in %
(Mindestrestwert 30%):</t>
  </si>
  <si>
    <t>&gt;=2005</t>
  </si>
  <si>
    <t>1995-2004</t>
  </si>
  <si>
    <t>Bayern  www.boris-bayern.de</t>
  </si>
  <si>
    <t>Berlin  www.gutachterausschuss-berlin.de</t>
  </si>
  <si>
    <t>Brandenburg  www.gutachterausschuss-bb.de</t>
  </si>
  <si>
    <t>Bremen  www.gutachterausschuss.bremen.de</t>
  </si>
  <si>
    <t>Niedersachsen  www.gag.niedersachsen.de</t>
  </si>
  <si>
    <t>Nordrhein-Westfalen  www.boris.nrw.de</t>
  </si>
  <si>
    <t>Sachsen-Anhalt  www.lvermgeo.sachsen-anhalt.de</t>
  </si>
  <si>
    <t>Schleswig-Holstein  www.gutachterausschuesse-sh.de/gutachter.html</t>
  </si>
  <si>
    <t>Baujahr</t>
  </si>
  <si>
    <t>Kaufpreisanteile</t>
  </si>
  <si>
    <t>Summe:</t>
  </si>
  <si>
    <t xml:space="preserve">ermittelte Einzelwerte   </t>
  </si>
  <si>
    <t>Gebäudewert</t>
  </si>
  <si>
    <t>Dacherneuerung inkl. Verbesserung der Wärmedämmung</t>
  </si>
  <si>
    <t>Modernisierung der Fenster und Außentüren</t>
  </si>
  <si>
    <t>Modernisierung der Leitungssysteme (Strom, Gas, Wasser, Abwasser)</t>
  </si>
  <si>
    <t>Modernisierung der Heizungsanlage</t>
  </si>
  <si>
    <t>Wärmedämmung der Außenwände</t>
  </si>
  <si>
    <t>Modernisierung von Bädern</t>
  </si>
  <si>
    <t>Modernisierung des Innenausbaus, z. B. Decken, Fußböden, Treppen</t>
  </si>
  <si>
    <t>Wesentliche Verbesserung der Grundrissgestaltung</t>
  </si>
  <si>
    <t>gewählte Punkte</t>
  </si>
  <si>
    <t xml:space="preserve">Modernisierungsgrad: </t>
  </si>
  <si>
    <t>Ursprüngliches Baujahr</t>
  </si>
  <si>
    <t>Fiktives Baujahr</t>
  </si>
  <si>
    <t>Modernisierungselemente</t>
  </si>
  <si>
    <t>Außenanlagen pauschal 3% (einschl. Außenstellplätze, Erschließung und Einfriedung)</t>
  </si>
  <si>
    <t>Grundstücksart:</t>
  </si>
  <si>
    <t>Wohnfläche (bzw. Nutzfläche) in m²</t>
  </si>
  <si>
    <t>Wohngebäude, insgesamt</t>
  </si>
  <si>
    <t>Nichtwohngebäude, Bürogebäude</t>
  </si>
  <si>
    <t>Nebenrechnung zur Aufteilung eines Grundstückskaufpreises
Ableitung des fiktiven Baujahrs unter Berücksichtigung von Modernisierungen</t>
  </si>
  <si>
    <r>
      <rPr>
        <vertAlign val="superscript"/>
        <sz val="8"/>
        <rFont val="Arial"/>
        <family val="2"/>
      </rPr>
      <t xml:space="preserve">1 </t>
    </r>
    <r>
      <rPr>
        <sz val="8"/>
        <rFont val="Arial"/>
        <family val="2"/>
      </rPr>
      <t>analog Sachwertrichtlinie – SW-RL; Anlage 3</t>
    </r>
  </si>
  <si>
    <r>
      <t xml:space="preserve">durchgreifende  Modernisierung
</t>
    </r>
    <r>
      <rPr>
        <sz val="8"/>
        <rFont val="Arial"/>
        <family val="2"/>
      </rPr>
      <t>(ja, nein, teilweise</t>
    </r>
    <r>
      <rPr>
        <vertAlign val="superscript"/>
        <sz val="8"/>
        <rFont val="Arial"/>
        <family val="2"/>
      </rPr>
      <t>2</t>
    </r>
    <r>
      <rPr>
        <sz val="8"/>
        <rFont val="Arial"/>
        <family val="2"/>
      </rPr>
      <t>)</t>
    </r>
  </si>
  <si>
    <t>freistehende Einfamilienhäuser, 
KG, Erdgeschoss,
Dachgeschoss voll ausgebaut</t>
  </si>
  <si>
    <t>freistehende Einfamilienhäuser, 
KG, Erdgeschoss,
Dachgeschoss nicht ausgebaut</t>
  </si>
  <si>
    <t>freistehende Einfamilienhäuser, 
KG, Erdgeschoss,
Flachdach oder flach geneigtes Dach</t>
  </si>
  <si>
    <t>freistehende Einfamilienhäuser, 
KG, Erd-, Obergeschoss,
Dachgeschoss voll ausgebaut</t>
  </si>
  <si>
    <t>freistehende Einfamilienhäuser, 
KG, Erd-, Obergeschoss,
Dachgeschoss nicht ausgebaut</t>
  </si>
  <si>
    <t>freistehende Einfamilienhäuser, 
KG, Erd-, Obergeschoss,
Flachdach oder flach geneigtes Dach</t>
  </si>
  <si>
    <t>Doppel- und Reihenendhäuser,
KG, Erdgeschoss,
Dachgeschoss voll ausgebaut</t>
  </si>
  <si>
    <t>Doppel- und Reihenendhäuser,
KG, Erdgeschoss,
Dachgeschoss nicht ausgebaut</t>
  </si>
  <si>
    <t>Doppel- und Reihenendhäuser,
KG, Erdgeschoss,
Flachdach oder flach geneigtes Dach</t>
  </si>
  <si>
    <t>Doppel- und Reihenendhäuser, 
KG, Erd-, Obergeschoss,
Dachgeschoss voll ausgebaut</t>
  </si>
  <si>
    <t>Doppel- und Reihenendhäuser, 
KG, Erd-, Obergeschoss,
Dachgeschoss nicht ausgebaut</t>
  </si>
  <si>
    <t>Doppel- und Reihenendhäuser, 
KG, Erd-, Obergeschoss,
Flachdach oder flach geneigtes Dach</t>
  </si>
  <si>
    <t>Reihenmittelhäuser, 
KG, Erdgeschoss,
Dachgeschoss voll ausgebaut</t>
  </si>
  <si>
    <t>Reihenmittelhäuser, 
KG, Erdgeschoss,
Dachgeschoss nicht ausgebaut</t>
  </si>
  <si>
    <t>Reihenmittelhäuser, 
KG, Erdgeschoss,
Flachdach oder flach geneigtes Dach</t>
  </si>
  <si>
    <t>Reihenmittelhäuser, 
KG, Erd-, Obergeschoss,
Dachgeschoss voll ausgebaut</t>
  </si>
  <si>
    <t>Reihenmittelhäuser, 
KG, Erd-, Obergeschoss,
Dachgeschoss nicht ausgebaut</t>
  </si>
  <si>
    <t>Reihenmittelhäuser, 
KG, Erd-, Obergeschoss,
Flachdach oder flach geneigtes Dach</t>
  </si>
  <si>
    <r>
      <t>Übliche Gesamtnutzungsdauer bei ordnungsgemäßer Instandhaltung</t>
    </r>
    <r>
      <rPr>
        <vertAlign val="superscript"/>
        <sz val="8"/>
        <rFont val="Arial"/>
        <family val="2"/>
      </rPr>
      <t>1</t>
    </r>
  </si>
  <si>
    <t>THK* €/m²</t>
  </si>
  <si>
    <r>
      <t>freistehende Zweifamilienhäuser</t>
    </r>
    <r>
      <rPr>
        <b/>
        <vertAlign val="superscript"/>
        <sz val="8"/>
        <color indexed="8"/>
        <rFont val="Times New Roman"/>
        <family val="1"/>
      </rPr>
      <t>1</t>
    </r>
  </si>
  <si>
    <t>1.121</t>
  </si>
  <si>
    <t>1.011</t>
  </si>
  <si>
    <t>1.021</t>
  </si>
  <si>
    <t>1.031</t>
  </si>
  <si>
    <t>1.111</t>
  </si>
  <si>
    <t>1.131</t>
  </si>
  <si>
    <t>1.211</t>
  </si>
  <si>
    <t>1.221</t>
  </si>
  <si>
    <t>1.231</t>
  </si>
  <si>
    <t>1.311</t>
  </si>
  <si>
    <t>1.321</t>
  </si>
  <si>
    <t>1.331</t>
  </si>
  <si>
    <t xml:space="preserve"> x</t>
  </si>
  <si>
    <t>Geschäftsgrundstücke, Geschäftshäuser</t>
  </si>
  <si>
    <t>max. Punkte</t>
  </si>
  <si>
    <t>KPA-Verfalldatum:</t>
  </si>
  <si>
    <t>Sachsen http://www.boris.sachsen.de/</t>
  </si>
  <si>
    <t>Hessen www.boris.hessen.de</t>
  </si>
  <si>
    <t>Mecklenburg-Vorpommern  www.geoportal-mv.de</t>
  </si>
  <si>
    <t>Thüringen  www.geoportal-th.de</t>
  </si>
  <si>
    <t>Teileigentum: Geschäftsgrundstücke (Geschäfts.)</t>
  </si>
  <si>
    <t xml:space="preserve">Teileigentum: Geschäftsgrundstücke (Bürog.) </t>
  </si>
  <si>
    <t xml:space="preserve">10) ggf. Miteigentumsanteil - Nenner:   </t>
  </si>
  <si>
    <t>nein</t>
  </si>
  <si>
    <t>Teileigentum: Mietwohngrundstücke (Mehrfamilienhäuser)</t>
  </si>
  <si>
    <t xml:space="preserve">14) Wert in €/ m²:                                      </t>
  </si>
  <si>
    <t xml:space="preserve">  1) Lage des Grundstücks:</t>
  </si>
  <si>
    <t xml:space="preserve">  2) Grundstückart:</t>
  </si>
  <si>
    <t xml:space="preserve">  3) Datum des Kaufvertrages:</t>
  </si>
  <si>
    <t xml:space="preserve">  7) ggf. Anzahl Garagenstellplätze:</t>
  </si>
  <si>
    <t xml:space="preserve">  9) ggf. Miteigentumsanteil - Zähler:</t>
  </si>
  <si>
    <t xml:space="preserve">12) Bodenrichtwert in €/ m²: 
</t>
  </si>
  <si>
    <t xml:space="preserve">  4) Kaufpreis in € (incl. Nebenkosten):  </t>
  </si>
  <si>
    <t xml:space="preserve">  6) Wohn- bzw. Nutzfläche in m²:           </t>
  </si>
  <si>
    <t xml:space="preserve">  8) ggf. Anzahl Tiefgaragenstellplätze: </t>
  </si>
  <si>
    <t>St-Nr.:</t>
  </si>
  <si>
    <t xml:space="preserve">Anlage zum </t>
  </si>
  <si>
    <t xml:space="preserve">-bescheid für </t>
  </si>
  <si>
    <t>Die Ermittlung der Bemessungsgrundlage für die Gebäudeabschreibung entnehmen Sie bitte der beigefügten Berechnung.</t>
  </si>
  <si>
    <t>Nein</t>
  </si>
  <si>
    <t>1.</t>
  </si>
  <si>
    <t>(gem. Anlage 1 zur SWRL bzw. bei Gebäudearten, bei denen die Standardstufe 2 nicht</t>
  </si>
  <si>
    <t>veröffentlicht ist, gem. Anleitung zur KPA im Beispiel unter 1.)</t>
  </si>
  <si>
    <t>2.</t>
  </si>
  <si>
    <t>(gem. Tabelle aus der Anleitung zur KPA im Beispiel unter 2.)</t>
  </si>
  <si>
    <t>Faktor:</t>
  </si>
  <si>
    <t>3.</t>
  </si>
  <si>
    <t>(SW-RL vom 18.10.2012; Anlage 1 unter 4.; Fußnote 5)</t>
  </si>
  <si>
    <t>Wohnfläche</t>
  </si>
  <si>
    <t>Faktor</t>
  </si>
  <si>
    <t>&lt;= 35 m²</t>
  </si>
  <si>
    <t>&gt;= 135 m²</t>
  </si>
  <si>
    <t>36-134 m²</t>
  </si>
  <si>
    <t>4.</t>
  </si>
  <si>
    <t>Pauschale Erhöhung um 3 % (Berücksichtigung von Außenanlagen)</t>
  </si>
  <si>
    <t>5.</t>
  </si>
  <si>
    <t>Alterswertminderung berechnen (Mindestwert = 30 %)</t>
  </si>
  <si>
    <t>Formel:</t>
  </si>
  <si>
    <t xml:space="preserve">für Geschäftsgrundstücke, </t>
  </si>
  <si>
    <t xml:space="preserve">Geschäftshäuser und Bürogebäude </t>
  </si>
  <si>
    <t>Jahre</t>
  </si>
  <si>
    <t>alle übrigen Gebäudearten</t>
  </si>
  <si>
    <t>6.</t>
  </si>
  <si>
    <t>THK</t>
  </si>
  <si>
    <t>Datum des Kaufvertrages:</t>
  </si>
  <si>
    <t>BGF-Kostenkennwert:</t>
  </si>
  <si>
    <t xml:space="preserve">BGF-Kostenkennwert entspr. Grundstücksart und Baujahr ermitteln </t>
  </si>
  <si>
    <t>Umrechnungsfaktor in Wohn- bzw. Nutzfläche entsprechend der Grundstücksart</t>
  </si>
  <si>
    <t>WF/NF-Kostenkennwert 1:</t>
  </si>
  <si>
    <t>WF/NF-Kostenkennwert 2:</t>
  </si>
  <si>
    <t>0.</t>
  </si>
  <si>
    <t xml:space="preserve">Anpassung aufgrund der Wohnfläche im Falle von Wohnungseigentum   </t>
  </si>
  <si>
    <t>WF/NF-Kostenkennwert 3:</t>
  </si>
  <si>
    <t>WF/NF-Kostenkennwert 4:</t>
  </si>
  <si>
    <t>Rechnerische THK-Erläuterung als Ergänzung der KPA-Anleitung</t>
  </si>
  <si>
    <t>Alterswertminderung in % = (Gesamtnutzungsdauer – Restnutzungsdauer / Gesamtnutzungsdauer) x 100</t>
  </si>
  <si>
    <t>Gesamtnutzungsdauer:</t>
  </si>
  <si>
    <t>Indizierung mit dem Baupreisindex
(Statistisches Bundesamt, Fachserie 17 Reihe 4, Preisindizes für die Bauwirtschaft)</t>
  </si>
  <si>
    <t xml:space="preserve">Finanzamt: </t>
  </si>
  <si>
    <t>Ja</t>
  </si>
  <si>
    <t>▼  Druckbereich  ▼</t>
  </si>
  <si>
    <t xml:space="preserve">Übergang Nutzen-Lasten-Wechsels:  </t>
  </si>
  <si>
    <t>wird nicht gedruckt
▼                      ▼</t>
  </si>
  <si>
    <t>Das Grundstück gehört zum Betriebsvermögen (Ja/Nein):</t>
  </si>
  <si>
    <t>Automatischen Textbaustein ausblenden (Ja/Nein):</t>
  </si>
  <si>
    <t>AfA-Berechnung</t>
  </si>
  <si>
    <r>
      <rPr>
        <b/>
        <sz val="8"/>
        <rFont val="Arial"/>
        <family val="2"/>
      </rPr>
      <t xml:space="preserve">
Erläuterung: 
</t>
    </r>
    <r>
      <rPr>
        <sz val="8"/>
        <rFont val="Arial"/>
        <family val="2"/>
      </rPr>
      <t xml:space="preserve">Als Baujahr ist regelmäßig das Jahr der Bezugsfertigkeit des Gebäudes (ursprüngliches Baujahr) zu erfassen. Die Bezugsfertigkeit ist gegeben, wenn das Gebäude bzw. der Gebäudeteil von den künftigen Bewohnern oder sonstigen Benutzern nach objektiven Verhältnissen genutzt werden kann. Die Abnahme durch die Bauaufsichtsbehörde ist nicht entscheidend. Die Angabe des Baujahrs ist für die Wertminderung wegen Alters des Gebäudes von Bedeutung. 
Sofern Kenntnisse vorliegen, dass an dem Gebäude in den letzten zwanzig Jahren vor dem Anschaffungsjahr Modernisierungsmaßnahmen durchgeführt wurden, kann analog zu den Vorgaben der Richtlinie zur Ermittlung des Sachwerts (Sachwertrichtlinie – SW-RL) eine modifizierte Restnutzungsdauer und somit ein fiktives Baujahr bestimmt werden. Die oben stehende Rechenhilfe kann zur Ableitung des fiktiven Baujahres angewandt werden, da diese in enger Anlehnung an die SW-RL entwickelt wurde.
</t>
    </r>
  </si>
  <si>
    <t>Sofern Kenntnisse vorliegen, dass an dem Gebäude in den letzten zwanzig Jahren vor dem Anschaffungsjahr  nachfolgend aufgeführte Modernisierungsmaßnahmen durchgeführt wurden, kann fiktiv ein späteres Baujahr angenommen werden.</t>
  </si>
  <si>
    <t>2015=100</t>
  </si>
  <si>
    <t>2010=100</t>
  </si>
  <si>
    <t>Baden-Württemberg   www.zgg-bw.de</t>
  </si>
  <si>
    <t xml:space="preserve"> </t>
  </si>
  <si>
    <t>Rheinland-Pfalz https://gutachterausschuesse.rlp.de</t>
  </si>
  <si>
    <t>Saarland https://geoportal.saarland.de/article/Bodenrichtwerte/</t>
  </si>
  <si>
    <t>Allgemeines Ertragswertverfahren</t>
  </si>
  <si>
    <t>Jährlicher Rohertrag</t>
  </si>
  <si>
    <t>Bewertungsparameter Ertragswertverfahren</t>
  </si>
  <si>
    <t>≥ 60 Jahre</t>
  </si>
  <si>
    <t>40 bis 59 Jahre</t>
  </si>
  <si>
    <t>20 bis 39 Jahre</t>
  </si>
  <si>
    <t>&lt; 20 Jahre</t>
  </si>
  <si>
    <t>Jährlicher Reinertrag</t>
  </si>
  <si>
    <t>Reinertragsanteil der baulichen Anlagen</t>
  </si>
  <si>
    <t>Barwertfaktor für Kapitalisierung</t>
  </si>
  <si>
    <t>Restnutzungsdauer</t>
  </si>
  <si>
    <t>vorläufiger Ertragswert der baulichen Anlagen</t>
  </si>
  <si>
    <t>zuzüglich Bodenwert</t>
  </si>
  <si>
    <t>vorläufiger Ertragswert</t>
  </si>
  <si>
    <t>vorläufiger Grundstückssachwert:</t>
  </si>
  <si>
    <t>Vergleichswertverfahren</t>
  </si>
  <si>
    <t>Vorläufiger Vergleichswert</t>
  </si>
  <si>
    <t>Zinssatz in %</t>
  </si>
  <si>
    <t>30.06.2022</t>
  </si>
  <si>
    <t>Sachwertverfahren</t>
  </si>
  <si>
    <t>Ertragswertverfahren</t>
  </si>
  <si>
    <t xml:space="preserve">KKW der THK in  € mit Regionalfaktor </t>
  </si>
  <si>
    <t>* gerundete Werte einschl. Alterswertminderung, Baupreisindex und Regionalfaktor</t>
  </si>
  <si>
    <t>gemischt genutzte Grundstücke, Wohnhäuser mit Mischnutzung (gewerbl. Anteil &lt; 50%)</t>
  </si>
  <si>
    <t xml:space="preserve">Teileigentum: gemischt genutzte Grundstücke (gewerbl. Anteil &lt; 50%) </t>
  </si>
  <si>
    <t>gemischt genutzte Grundstücke, Wohnhäuser mit Mischnutzung (gewerbl. Anteil &gt; 50%)</t>
  </si>
  <si>
    <t xml:space="preserve">Teileigentum: gemischt genutzte Grundstücke  (gewerbl. Anteil &gt; 50%) </t>
  </si>
  <si>
    <t>Berechnung zur Aufteilung eines Grundstückskaufpreises</t>
  </si>
  <si>
    <t xml:space="preserve">           Verweise zu Gutachterausschüssen (GAA) bzw. Bodenrichtwerten
 und Vergleichswerten</t>
  </si>
  <si>
    <t>INDEX</t>
  </si>
  <si>
    <t>NR</t>
  </si>
  <si>
    <t>Jahr</t>
  </si>
  <si>
    <t>Ausblenden</t>
  </si>
  <si>
    <t>Zeilenauswahl:</t>
  </si>
  <si>
    <t>Änderungsfaktor</t>
  </si>
  <si>
    <t>Kaufwert EUR/m²</t>
  </si>
  <si>
    <t>Statistisches Bundesamt     Fachserie 17 Reihe 5       6 Kaufwerte für Bauland nach Baulandarten im Zeitvergleich</t>
  </si>
  <si>
    <t>Wohnungseigentum [WE]</t>
  </si>
  <si>
    <t>[EFH] freistehend, KG, EG, DG voll ausgebaut</t>
  </si>
  <si>
    <t>[EFH] freistehend, KG, EG, DG nicht ausgebaut</t>
  </si>
  <si>
    <t>[EFH] freistehend, KG, EG, Flachdach oder flach geneigtes Dach</t>
  </si>
  <si>
    <t>[EFH] freistehend, KG, EG, OG, DG voll ausgebaut</t>
  </si>
  <si>
    <t>[EFH] freistehend, KG, EG, OG, DG nicht ausgebaut</t>
  </si>
  <si>
    <t>[EFH] freistehend, KG, EG, OG, Flachdach oder flach geneigtes Dach</t>
  </si>
  <si>
    <t>[EFH] freistehend, EG, nicht unterkellert, DG voll ausgebaut</t>
  </si>
  <si>
    <t>[EFH] freistehend, EG, nicht unterkellert, DG nicht ausgebaut</t>
  </si>
  <si>
    <t>[EFH] freistehend, EG, nicht unterkellert, Flachdach oder flach geneigtes Dach</t>
  </si>
  <si>
    <t>[EFH] freistehend, EG, OG, nicht unterkellert, DG voll ausgebaut</t>
  </si>
  <si>
    <t>[EFH] freistehend, EG, OG, nicht unterkellert, DG nicht ausgebaut</t>
  </si>
  <si>
    <t>[EFH] freistehend, EG, OG, nicht unterkellert, Flachdach oder flach geneigtes Dach</t>
  </si>
  <si>
    <t>[EFH/ZFH] Doppel- und Reihenendh., KG, EG, DG voll ausgebaut</t>
  </si>
  <si>
    <t>[EFH/ZFH]Doppel- und Reihenendh., KG, EG, DG nicht ausgebaut</t>
  </si>
  <si>
    <t>[EFH/ZFH] Doppel- und Reihenendh., KG, EG, Flachdach oder flach geneigtes Dach</t>
  </si>
  <si>
    <t>[EFH/ZFH] Doppel- und Reihenendh., KG, EG, OG, DG voll ausgebaut</t>
  </si>
  <si>
    <t>[EFH/ZFH] Doppel- und Reihenendh., KG, EG, OG, DG nicht ausgebaut</t>
  </si>
  <si>
    <t>[EFH/ZFH] Doppel- und Reihenendh., KG, EG, OG, Flachdach oder flach geneigtes Dach</t>
  </si>
  <si>
    <t>[EFH/ZFH] Doppel- und Reihenendh., EG, nicht unterkellert, DG voll ausgebaut</t>
  </si>
  <si>
    <t>[EFH/ZFH] Doppel- und Reihenendh., EG, nicht unterkellert, DG nicht ausgebaut</t>
  </si>
  <si>
    <t>[EFH/ZFH] Doppel- und Reihenendh., EG, nicht unterkellert, Flachdach oder flach geneigtes Dach</t>
  </si>
  <si>
    <t>[EFH/ZFH] Doppel- und Reihenendh., EG, OG, nicht unterkellert, DG nicht ausgebaut</t>
  </si>
  <si>
    <t>[EFH/ZFH] Doppel- und Reihenendh., EG, OG, nicht unterkellert, Flachdach oder flach geneigtes Dach</t>
  </si>
  <si>
    <t>[EFH/ZFH] Doppel- und Reihenendh., EG, OG, nicht unterkellert, DG voll ausgebaut</t>
  </si>
  <si>
    <t>[EFH/ZFH] Reihenmittelh., KG, EG, DG voll ausgebaut</t>
  </si>
  <si>
    <t>[EFH/ZFH] Reihenmittelh., KG, EG, DG nicht ausgebaut</t>
  </si>
  <si>
    <t>[EFH/ZFH] Reihenmittelh.,  KG, EG, Flachdach oder flach geneigtes Dach</t>
  </si>
  <si>
    <t>[EFH/ZFH] Reihenmittelh., KG, EG, OG, DG voll ausgebaut</t>
  </si>
  <si>
    <t>[EFH/ZFH] Reihenmittelh.,  KG, EG, OG, DG nicht ausgebaut</t>
  </si>
  <si>
    <t>[EFH/ZFH] Reihenmittelh., KG, EG, OG, Flachdach oder flach geneigtes Dach</t>
  </si>
  <si>
    <t>[EFH/ZFH] Reihenmittelh., EG, nicht unterkellert, DG voll ausgebaut</t>
  </si>
  <si>
    <t>[EFH/ZFH] Reihenmittelh., EG, nicht unterkellert, DG nicht ausgebaut</t>
  </si>
  <si>
    <t>[EFH/ZFH] Reihenmittelh., EG, nicht unterkellert, Flachdach oder flach geneigtes Dach</t>
  </si>
  <si>
    <t>[EFH/ZFH] Reihenmittelh., EG, OG, nicht unterkellert, DG voll ausgebaut</t>
  </si>
  <si>
    <t>[EFH/ZFH] Reihenmittelh.,  EG, OG, nicht unterkellert, DG nicht ausgebaut</t>
  </si>
  <si>
    <t>[EFH/ZFH] Reihenmittelh., EG, OG, nicht unterkellert, Flachdach oder flach geneigtes Dach</t>
  </si>
  <si>
    <t>Z in %</t>
  </si>
  <si>
    <t>15) Liegt Ihnen ein Vergleichsfaktor des Gutachterausschusses  vor?</t>
  </si>
  <si>
    <t>16) Bezugsmaßstab des Vergleichsfaktors</t>
  </si>
  <si>
    <t>17) Vergleichsfaktor bzw. sofern bekannt, 
      objektspezifisch angepasster Vergleichsfaktor  (€/m²)</t>
  </si>
  <si>
    <t xml:space="preserve">18) Erläuterung   </t>
  </si>
  <si>
    <t>24) Regionalfaktor:</t>
  </si>
  <si>
    <t>Wohn- bzw. Nutzfläche</t>
  </si>
  <si>
    <t>Hamburg  www.geoportal-hamburg.de</t>
  </si>
  <si>
    <t>11) Fläche 1; Grundstücksgröße in m²:</t>
  </si>
  <si>
    <t xml:space="preserve">13) Fläche 2; Grundstücksgröße in m²: </t>
  </si>
  <si>
    <t>Vergleichsfaktor, ggf. objektspezifisch angepasster Vergleichsfaktor  (€/m²) =</t>
  </si>
  <si>
    <t>22) monatlicher Gesamtrohertrag (sog. Nettokaltmiete) incl. Stellplätze:</t>
  </si>
  <si>
    <t>20) Vergleichsfaktor (€/Stück)  je Tiefgaragenstellplatz:</t>
  </si>
  <si>
    <t>19) Vergleichsfaktor (€/Stück) je Garagenstellplatz:</t>
  </si>
  <si>
    <t>23)  Liegenschaftszinssatz des örtlichen Gutachterausschusses, sofern bekannt:</t>
  </si>
  <si>
    <t xml:space="preserve">abzgl. Bewirtschaftungskosten (analog Anlage 23 bzw. 40 BewG) </t>
  </si>
  <si>
    <t>Wertanteil der baulichen Anlagen/Gebäude:</t>
  </si>
  <si>
    <t>21) Ist die tatsächliche Miete bzw. ortsübliche Miete bekannt?</t>
  </si>
  <si>
    <t>[ZFH] freistehend, KG, EG, DG voll ausgebaut</t>
  </si>
  <si>
    <t>[ZFH] freistehend, KG, EG, DG nicht ausgebaut</t>
  </si>
  <si>
    <t>[ZFH] freistehend, KG, EG, Flachdach oder flach geneigtes Dach</t>
  </si>
  <si>
    <t>[ZFH] freistehend, KG, EG, OG, DG voll ausgebaut</t>
  </si>
  <si>
    <t>[ZFH] freistehend, KG, EG, OG, DG nicht ausgebaut</t>
  </si>
  <si>
    <t>[ZFH] freistehend, KG, EG, OG, Flachdach oder flach geneigtes Dach</t>
  </si>
  <si>
    <t>[ZFH] freistehend, EG, nicht unterkellert, DG voll ausgebaut</t>
  </si>
  <si>
    <t>[ZFH] freistehend, EG, nicht unterkellert, DG nicht ausgebaut</t>
  </si>
  <si>
    <t>[ZFH] freistehend, EG, nicht unterkellert, Flachdach oder flach geneigtes Dach</t>
  </si>
  <si>
    <t>[ZFH] freistehend, EG, OG, nicht unterkellert, DG voll ausgebaut</t>
  </si>
  <si>
    <t>[ZFH] freistehend, EG, OG, nicht unterkellert, DG nicht ausgebaut</t>
  </si>
  <si>
    <t>[ZFH] freistehend, EG, OG, nicht unterkellert, Flachdach oder flach geneigtes Dach</t>
  </si>
  <si>
    <t>Fassung  Mai 2021</t>
  </si>
  <si>
    <r>
      <rPr>
        <vertAlign val="superscript"/>
        <sz val="7"/>
        <rFont val="Arial"/>
        <family val="2"/>
      </rPr>
      <t xml:space="preserve">2 </t>
    </r>
    <r>
      <rPr>
        <sz val="7"/>
        <rFont val="Arial"/>
        <family val="2"/>
      </rPr>
      <t xml:space="preserve"> bei mehr als 10 Jahre zurückliegenden Modernisierungen können diese als "teilweise Modernisierungen" gewertet werden. Mehr als 20 Jahre zurückliegenden Modernisierungen können grundsätzlich nicht berücksichtigt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</si>
</sst>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0\ &quot;€&quot;;[Red]\-#,##0\ &quot;€&quot;"/>
    <numFmt numFmtId="44" formatCode="_-* #,##0.00\ &quot;€&quot;_-;\-* #,##0.00\ &quot;€&quot;_-;_-* &quot;-&quot;??\ &quot;€&quot;_-;_-@_-"/>
    <numFmt numFmtId="164" formatCode="_-* #,##0.00\ _€_-;\-* #,##0.00\ _€_-;_-* &quot;-&quot;??\ _€_-;_-@_-"/>
    <numFmt numFmtId="165" formatCode="_-* #,##0\ &quot;€&quot;_-;\-* #,##0\ &quot;€&quot;_-;_-* &quot;-&quot;??\ &quot;€&quot;_-;_-@_-"/>
    <numFmt numFmtId="166" formatCode="_-* #,##0\ _€_-;\-* #,##0\ _€_-;_-* &quot;-&quot;??\ _€_-;_-@_-"/>
    <numFmt numFmtId="167" formatCode="_-* #,##0.0\ _€_-;\-* #,##0.0\ _€_-;_-* &quot;-&quot;??\ _€_-;_-@_-"/>
    <numFmt numFmtId="168" formatCode="0.000"/>
    <numFmt numFmtId="169" formatCode="0.0000000"/>
    <numFmt numFmtId="170" formatCode="0.0%"/>
    <numFmt numFmtId="171" formatCode="#,##0&quot; €&quot;"/>
    <numFmt numFmtId="172" formatCode="mm"/>
    <numFmt numFmtId="173" formatCode="yyyy"/>
    <numFmt numFmtId="174" formatCode="0.0000"/>
    <numFmt numFmtId="175" formatCode="0.0"/>
    <numFmt numFmtId="176" formatCode="_-* #,##0.00\ [$€-407]_-;\-* #,##0.00\ [$€-407]_-;_-* &quot;-&quot;??\ [$€-407]_-;_-@_-"/>
    <numFmt numFmtId="177" formatCode="_-* #,##0.0000\ _€_-;\-* #,##0.0000\ _€_-;_-* &quot;-&quot;??\ _€_-;_-@_-"/>
    <numFmt numFmtId="178" formatCode="0.00000"/>
  </numFmts>
  <fonts count="84" x14ac:knownFonts="1">
    <font>
      <sz val="10"/>
      <color theme="1"/>
      <name val="Arial"/>
      <family val="2"/>
    </font>
    <font>
      <sz val="10"/>
      <name val="Arial"/>
      <family val="2"/>
    </font>
    <font>
      <b/>
      <sz val="7"/>
      <name val="Arial"/>
      <family val="2"/>
    </font>
    <font>
      <b/>
      <sz val="10"/>
      <name val="Arial"/>
      <family val="2"/>
    </font>
    <font>
      <b/>
      <sz val="8"/>
      <name val="Arial"/>
      <family val="2"/>
    </font>
    <font>
      <sz val="8"/>
      <name val="Arial"/>
      <family val="2"/>
    </font>
    <font>
      <b/>
      <u/>
      <sz val="12"/>
      <name val="Arial"/>
      <family val="2"/>
    </font>
    <font>
      <b/>
      <sz val="10"/>
      <color indexed="8"/>
      <name val="Arial"/>
      <family val="2"/>
    </font>
    <font>
      <sz val="8"/>
      <color indexed="81"/>
      <name val="Tahoma"/>
      <family val="2"/>
    </font>
    <font>
      <b/>
      <sz val="8"/>
      <color indexed="81"/>
      <name val="Tahoma"/>
      <family val="2"/>
    </font>
    <font>
      <b/>
      <sz val="18"/>
      <name val="Arial"/>
      <family val="2"/>
    </font>
    <font>
      <sz val="9"/>
      <name val="Arial"/>
      <family val="2"/>
    </font>
    <font>
      <b/>
      <sz val="9"/>
      <name val="Arial"/>
      <family val="2"/>
    </font>
    <font>
      <b/>
      <sz val="14"/>
      <color indexed="8"/>
      <name val="Arial"/>
      <family val="2"/>
    </font>
    <font>
      <vertAlign val="superscript"/>
      <sz val="8"/>
      <name val="Arial"/>
      <family val="2"/>
    </font>
    <font>
      <b/>
      <vertAlign val="superscript"/>
      <sz val="8"/>
      <color indexed="8"/>
      <name val="Times New Roman"/>
      <family val="1"/>
    </font>
    <font>
      <sz val="9"/>
      <color indexed="81"/>
      <name val="Tahoma"/>
      <family val="2"/>
    </font>
    <font>
      <b/>
      <sz val="9"/>
      <color indexed="81"/>
      <name val="Tahoma"/>
      <family val="2"/>
    </font>
    <font>
      <sz val="1"/>
      <name val="Arial"/>
      <family val="2"/>
    </font>
    <font>
      <sz val="11"/>
      <name val="Arial"/>
      <family val="2"/>
    </font>
    <font>
      <b/>
      <sz val="11"/>
      <name val="Arial"/>
      <family val="2"/>
    </font>
    <font>
      <sz val="7"/>
      <name val="Arial"/>
      <family val="2"/>
    </font>
    <font>
      <b/>
      <u/>
      <sz val="9"/>
      <name val="Arial"/>
      <family val="2"/>
    </font>
    <font>
      <sz val="10"/>
      <color indexed="8"/>
      <name val="Arial"/>
      <family val="2"/>
    </font>
    <font>
      <i/>
      <sz val="8"/>
      <color indexed="8"/>
      <name val="Arial"/>
      <family val="2"/>
    </font>
    <font>
      <b/>
      <sz val="12"/>
      <color indexed="8"/>
      <name val="Arial"/>
      <family val="2"/>
    </font>
    <font>
      <sz val="10"/>
      <color theme="1"/>
      <name val="Arial"/>
      <family val="2"/>
    </font>
    <font>
      <sz val="11"/>
      <color theme="1"/>
      <name val="Calibri"/>
      <family val="2"/>
      <scheme val="minor"/>
    </font>
    <font>
      <u/>
      <sz val="10"/>
      <color theme="10"/>
      <name val="Arial"/>
      <family val="2"/>
    </font>
    <font>
      <b/>
      <sz val="10"/>
      <color rgb="FFFF0000"/>
      <name val="Arial"/>
      <family val="2"/>
    </font>
    <font>
      <b/>
      <sz val="10"/>
      <color theme="1"/>
      <name val="Arial"/>
      <family val="2"/>
    </font>
    <font>
      <b/>
      <sz val="7"/>
      <color rgb="FFFF0000"/>
      <name val="Arial"/>
      <family val="2"/>
    </font>
    <font>
      <b/>
      <sz val="9"/>
      <color rgb="FFFF0000"/>
      <name val="Arial"/>
      <family val="2"/>
    </font>
    <font>
      <sz val="8"/>
      <color rgb="FFFF0000"/>
      <name val="Arial"/>
      <family val="2"/>
    </font>
    <font>
      <sz val="22"/>
      <color theme="1"/>
      <name val="Arial"/>
      <family val="2"/>
    </font>
    <font>
      <sz val="18"/>
      <color theme="1"/>
      <name val="Arial"/>
      <family val="2"/>
    </font>
    <font>
      <sz val="8"/>
      <color theme="1"/>
      <name val="Arial"/>
      <family val="2"/>
    </font>
    <font>
      <sz val="8"/>
      <name val="Calibri"/>
      <family val="2"/>
      <scheme val="minor"/>
    </font>
    <font>
      <sz val="8"/>
      <color theme="3"/>
      <name val="Arial"/>
      <family val="2"/>
    </font>
    <font>
      <sz val="1"/>
      <color theme="0"/>
      <name val="Arial"/>
      <family val="2"/>
    </font>
    <font>
      <b/>
      <sz val="8"/>
      <color rgb="FFFF0000"/>
      <name val="Arial"/>
      <family val="2"/>
    </font>
    <font>
      <sz val="1"/>
      <color theme="4" tint="0.59999389629810485"/>
      <name val="Arial"/>
      <family val="2"/>
    </font>
    <font>
      <sz val="11"/>
      <name val="Calibri"/>
      <family val="2"/>
      <scheme val="minor"/>
    </font>
    <font>
      <sz val="14"/>
      <color theme="1"/>
      <name val="Arial"/>
      <family val="2"/>
    </font>
    <font>
      <b/>
      <sz val="14"/>
      <color theme="1"/>
      <name val="Arial"/>
      <family val="2"/>
    </font>
    <font>
      <sz val="10"/>
      <color rgb="FFFFFFCC"/>
      <name val="Arial"/>
      <family val="2"/>
    </font>
    <font>
      <b/>
      <sz val="6"/>
      <color rgb="FFFF0000"/>
      <name val="Arial"/>
      <family val="2"/>
    </font>
    <font>
      <sz val="10"/>
      <color theme="0" tint="-0.499984740745262"/>
      <name val="Arial"/>
      <family val="2"/>
    </font>
    <font>
      <sz val="14"/>
      <color rgb="FFFFFFCC"/>
      <name val="Arial"/>
      <family val="2"/>
    </font>
    <font>
      <sz val="22"/>
      <color rgb="FFFFFFCC"/>
      <name val="Arial"/>
      <family val="2"/>
    </font>
    <font>
      <b/>
      <u/>
      <sz val="7"/>
      <name val="Arial"/>
      <family val="2"/>
    </font>
    <font>
      <b/>
      <sz val="22"/>
      <color rgb="FF000000"/>
      <name val="Calibri"/>
      <family val="2"/>
      <scheme val="minor"/>
    </font>
    <font>
      <b/>
      <sz val="16"/>
      <color rgb="FF000000"/>
      <name val="Calibri"/>
      <family val="2"/>
      <scheme val="minor"/>
    </font>
    <font>
      <b/>
      <sz val="16"/>
      <color theme="1"/>
      <name val="Calibri"/>
      <family val="2"/>
      <scheme val="minor"/>
    </font>
    <font>
      <sz val="12"/>
      <color rgb="FF000000"/>
      <name val="Garamond"/>
      <family val="1"/>
    </font>
    <font>
      <sz val="12"/>
      <color rgb="FF000000"/>
      <name val="Calibri"/>
      <family val="2"/>
      <scheme val="minor"/>
    </font>
    <font>
      <b/>
      <sz val="7"/>
      <color theme="0" tint="-0.249977111117893"/>
      <name val="Arial"/>
      <family val="2"/>
    </font>
    <font>
      <b/>
      <sz val="9"/>
      <color theme="0" tint="-0.249977111117893"/>
      <name val="Arial"/>
      <family val="2"/>
    </font>
    <font>
      <b/>
      <sz val="10"/>
      <color theme="0"/>
      <name val="Arial"/>
      <family val="2"/>
    </font>
    <font>
      <b/>
      <sz val="10"/>
      <color rgb="FF222222"/>
      <name val="Arial"/>
      <family val="2"/>
    </font>
    <font>
      <b/>
      <sz val="7"/>
      <color theme="0"/>
      <name val="Arial"/>
      <family val="2"/>
    </font>
    <font>
      <b/>
      <sz val="9"/>
      <color theme="0"/>
      <name val="Arial"/>
      <family val="2"/>
    </font>
    <font>
      <b/>
      <sz val="18"/>
      <color theme="0"/>
      <name val="Arial"/>
      <family val="2"/>
    </font>
    <font>
      <b/>
      <sz val="7"/>
      <color theme="3"/>
      <name val="Arial"/>
      <family val="2"/>
    </font>
    <font>
      <b/>
      <sz val="1"/>
      <color theme="0"/>
      <name val="Calibri"/>
      <family val="2"/>
      <scheme val="minor"/>
    </font>
    <font>
      <b/>
      <sz val="1"/>
      <color theme="0" tint="-0.34998626667073579"/>
      <name val="Calibri"/>
      <family val="2"/>
      <scheme val="minor"/>
    </font>
    <font>
      <b/>
      <sz val="1"/>
      <name val="Calibri"/>
      <family val="2"/>
      <scheme val="minor"/>
    </font>
    <font>
      <b/>
      <sz val="5"/>
      <color rgb="FFFF0000"/>
      <name val="Arial"/>
      <family val="2"/>
    </font>
    <font>
      <b/>
      <sz val="9"/>
      <color theme="3"/>
      <name val="Arial"/>
      <family val="2"/>
    </font>
    <font>
      <b/>
      <sz val="8"/>
      <color theme="0"/>
      <name val="Arial"/>
      <family val="2"/>
    </font>
    <font>
      <sz val="9"/>
      <color indexed="81"/>
      <name val="Segoe UI"/>
      <family val="2"/>
    </font>
    <font>
      <b/>
      <sz val="9"/>
      <color indexed="81"/>
      <name val="Segoe UI"/>
      <family val="2"/>
    </font>
    <font>
      <sz val="9"/>
      <color indexed="81"/>
      <name val="Segoe UI"/>
      <charset val="1"/>
    </font>
    <font>
      <b/>
      <sz val="9"/>
      <color indexed="81"/>
      <name val="Segoe UI"/>
      <charset val="1"/>
    </font>
    <font>
      <b/>
      <u/>
      <sz val="8"/>
      <name val="Arial"/>
      <family val="2"/>
    </font>
    <font>
      <b/>
      <sz val="7"/>
      <color rgb="FFCCFFCC"/>
      <name val="Arial"/>
      <family val="2"/>
    </font>
    <font>
      <b/>
      <sz val="11"/>
      <color theme="1"/>
      <name val="Arial"/>
      <family val="2"/>
    </font>
    <font>
      <sz val="10"/>
      <color rgb="FFC00000"/>
      <name val="Arial"/>
      <family val="2"/>
    </font>
    <font>
      <b/>
      <sz val="6"/>
      <color theme="3"/>
      <name val="Arial"/>
      <family val="2"/>
    </font>
    <font>
      <b/>
      <sz val="1"/>
      <color rgb="FFCCFFCC"/>
      <name val="Arial"/>
      <family val="2"/>
    </font>
    <font>
      <b/>
      <sz val="1"/>
      <color theme="0"/>
      <name val="Arial"/>
      <family val="2"/>
    </font>
    <font>
      <b/>
      <sz val="10"/>
      <color rgb="FFCCFFCC"/>
      <name val="Arial"/>
      <family val="2"/>
    </font>
    <font>
      <b/>
      <sz val="4"/>
      <color rgb="FFCCFFCC"/>
      <name val="Arial"/>
      <family val="2"/>
    </font>
    <font>
      <vertAlign val="superscript"/>
      <sz val="7"/>
      <name val="Arial"/>
      <family val="2"/>
    </font>
  </fonts>
  <fills count="32">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43"/>
        <bgColor indexed="26"/>
      </patternFill>
    </fill>
    <fill>
      <patternFill patternType="solid">
        <fgColor rgb="FFFFFF99"/>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FFCC"/>
        <bgColor indexed="64"/>
      </patternFill>
    </fill>
    <fill>
      <patternFill patternType="solid">
        <fgColor rgb="FFFF00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499984740745262"/>
        <bgColor indexed="26"/>
      </patternFill>
    </fill>
    <fill>
      <patternFill patternType="solid">
        <fgColor theme="0" tint="-4.9989318521683403E-2"/>
        <bgColor indexed="64"/>
      </patternFill>
    </fill>
    <fill>
      <patternFill patternType="solid">
        <fgColor theme="0"/>
        <bgColor indexed="26"/>
      </patternFill>
    </fill>
    <fill>
      <patternFill patternType="solid">
        <fgColor theme="6" tint="-0.249977111117893"/>
        <bgColor indexed="64"/>
      </patternFill>
    </fill>
    <fill>
      <patternFill patternType="solid">
        <fgColor rgb="FFFFCC66"/>
        <bgColor indexed="64"/>
      </patternFill>
    </fill>
    <fill>
      <patternFill patternType="solid">
        <fgColor rgb="FFCCFFCC"/>
        <bgColor indexed="64"/>
      </patternFill>
    </fill>
    <fill>
      <patternFill patternType="solid">
        <fgColor theme="4" tint="0.39997558519241921"/>
        <bgColor indexed="64"/>
      </patternFill>
    </fill>
  </fills>
  <borders count="8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style="thick">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rgb="FFFFFFCC"/>
      </bottom>
      <diagonal/>
    </border>
    <border>
      <left style="medium">
        <color rgb="FFFFFFCC"/>
      </left>
      <right style="medium">
        <color rgb="FFFFFFCC"/>
      </right>
      <top/>
      <bottom/>
      <diagonal/>
    </border>
    <border>
      <left style="medium">
        <color rgb="FFFFFFCC"/>
      </left>
      <right style="medium">
        <color rgb="FFFFFFCC"/>
      </right>
      <top/>
      <bottom style="medium">
        <color rgb="FFFFFFCC"/>
      </bottom>
      <diagonal/>
    </border>
    <border>
      <left/>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s>
  <cellStyleXfs count="9">
    <xf numFmtId="0" fontId="0" fillId="0" borderId="0"/>
    <xf numFmtId="164" fontId="26" fillId="0" borderId="0" applyFont="0" applyFill="0" applyBorder="0" applyAlignment="0" applyProtection="0"/>
    <xf numFmtId="0" fontId="28" fillId="0" borderId="0" applyNumberFormat="0" applyFill="0" applyBorder="0" applyAlignment="0" applyProtection="0"/>
    <xf numFmtId="9" fontId="26" fillId="0" borderId="0" applyFont="0" applyFill="0" applyBorder="0" applyAlignment="0" applyProtection="0"/>
    <xf numFmtId="9" fontId="23" fillId="0" borderId="0" applyFill="0" applyBorder="0" applyAlignment="0" applyProtection="0"/>
    <xf numFmtId="0" fontId="1" fillId="0" borderId="0"/>
    <xf numFmtId="0" fontId="27" fillId="0" borderId="0"/>
    <xf numFmtId="0" fontId="23" fillId="0" borderId="0"/>
    <xf numFmtId="44" fontId="26" fillId="0" borderId="0" applyFont="0" applyFill="0" applyBorder="0" applyAlignment="0" applyProtection="0"/>
  </cellStyleXfs>
  <cellXfs count="849">
    <xf numFmtId="0" fontId="0" fillId="0" borderId="0" xfId="0"/>
    <xf numFmtId="0" fontId="1" fillId="6" borderId="8" xfId="0" applyFont="1" applyFill="1" applyBorder="1" applyAlignment="1">
      <alignment vertical="center" wrapText="1"/>
    </xf>
    <xf numFmtId="49" fontId="1" fillId="6" borderId="9" xfId="5" applyNumberFormat="1" applyFont="1" applyFill="1" applyBorder="1" applyAlignment="1">
      <alignment horizontal="left" vertical="center" wrapText="1"/>
    </xf>
    <xf numFmtId="1" fontId="1" fillId="7" borderId="9" xfId="5" applyNumberFormat="1" applyFont="1" applyFill="1" applyBorder="1" applyAlignment="1">
      <alignment horizontal="center" vertical="center" wrapText="1"/>
    </xf>
    <xf numFmtId="49" fontId="1" fillId="8" borderId="0" xfId="5" applyNumberFormat="1" applyFont="1" applyFill="1" applyBorder="1" applyAlignment="1">
      <alignment horizontal="left" vertical="center" wrapText="1"/>
    </xf>
    <xf numFmtId="1" fontId="1" fillId="8" borderId="0" xfId="5" applyNumberFormat="1" applyFont="1" applyFill="1" applyBorder="1" applyAlignment="1">
      <alignment horizontal="center" vertical="center" wrapText="1"/>
    </xf>
    <xf numFmtId="0" fontId="29" fillId="9" borderId="10" xfId="0" applyFont="1" applyFill="1" applyBorder="1" applyAlignment="1">
      <alignment horizontal="left"/>
    </xf>
    <xf numFmtId="49" fontId="1" fillId="10" borderId="10" xfId="0" applyNumberFormat="1" applyFont="1" applyFill="1" applyBorder="1" applyAlignment="1">
      <alignment horizontal="right" vertical="center"/>
    </xf>
    <xf numFmtId="49" fontId="1" fillId="10" borderId="11" xfId="0" applyNumberFormat="1" applyFont="1" applyFill="1" applyBorder="1" applyAlignment="1">
      <alignment horizontal="right" vertical="center"/>
    </xf>
    <xf numFmtId="1" fontId="30" fillId="0" borderId="0" xfId="0" applyNumberFormat="1" applyFont="1" applyFill="1" applyBorder="1" applyAlignment="1">
      <alignment horizontal="left"/>
    </xf>
    <xf numFmtId="0" fontId="0" fillId="0" borderId="0" xfId="0" applyFill="1"/>
    <xf numFmtId="1" fontId="1" fillId="7" borderId="8" xfId="5" applyNumberFormat="1" applyFont="1" applyFill="1" applyBorder="1" applyAlignment="1">
      <alignment horizontal="center" vertical="center" wrapText="1"/>
    </xf>
    <xf numFmtId="49" fontId="1" fillId="0" borderId="12" xfId="5" applyNumberFormat="1" applyFont="1" applyFill="1" applyBorder="1" applyAlignment="1">
      <alignment horizontal="right" vertical="center" wrapText="1"/>
    </xf>
    <xf numFmtId="49" fontId="1" fillId="2" borderId="13" xfId="5" applyNumberFormat="1" applyFont="1" applyFill="1" applyBorder="1" applyAlignment="1">
      <alignment horizontal="left" vertical="center" wrapText="1"/>
    </xf>
    <xf numFmtId="49" fontId="1" fillId="0" borderId="13" xfId="5" applyNumberFormat="1" applyFont="1" applyFill="1" applyBorder="1" applyAlignment="1">
      <alignment horizontal="center" vertical="center" wrapText="1"/>
    </xf>
    <xf numFmtId="49" fontId="1" fillId="3" borderId="13" xfId="5" applyNumberFormat="1" applyFont="1" applyFill="1" applyBorder="1" applyAlignment="1">
      <alignment horizontal="center" vertical="center" wrapText="1"/>
    </xf>
    <xf numFmtId="49" fontId="1" fillId="8" borderId="14" xfId="5" applyNumberFormat="1" applyFont="1" applyFill="1" applyBorder="1" applyAlignment="1">
      <alignment horizontal="right" vertical="center" wrapText="1"/>
    </xf>
    <xf numFmtId="49" fontId="1" fillId="6" borderId="15" xfId="5" applyNumberFormat="1" applyFont="1" applyFill="1" applyBorder="1" applyAlignment="1">
      <alignment horizontal="right" vertical="center" wrapText="1"/>
    </xf>
    <xf numFmtId="49" fontId="1" fillId="6" borderId="16" xfId="0" applyNumberFormat="1" applyFont="1" applyFill="1" applyBorder="1" applyAlignment="1">
      <alignment horizontal="right" vertical="center"/>
    </xf>
    <xf numFmtId="49" fontId="1" fillId="6" borderId="17" xfId="5" applyNumberFormat="1" applyFont="1" applyFill="1" applyBorder="1" applyAlignment="1">
      <alignment horizontal="right" vertical="center" wrapText="1"/>
    </xf>
    <xf numFmtId="49" fontId="1" fillId="6" borderId="18" xfId="5" applyNumberFormat="1" applyFont="1" applyFill="1" applyBorder="1" applyAlignment="1">
      <alignment horizontal="left" vertical="center" wrapText="1"/>
    </xf>
    <xf numFmtId="1" fontId="1" fillId="7" borderId="18" xfId="5" applyNumberFormat="1" applyFont="1" applyFill="1" applyBorder="1" applyAlignment="1">
      <alignment horizontal="center" vertical="center" wrapText="1"/>
    </xf>
    <xf numFmtId="49" fontId="1" fillId="8" borderId="0" xfId="5" applyNumberFormat="1" applyFont="1" applyFill="1" applyBorder="1" applyAlignment="1">
      <alignment horizontal="left" vertical="center"/>
    </xf>
    <xf numFmtId="49" fontId="1" fillId="6" borderId="9" xfId="5" applyNumberFormat="1" applyFont="1" applyFill="1" applyBorder="1" applyAlignment="1">
      <alignment horizontal="left" vertical="center"/>
    </xf>
    <xf numFmtId="49" fontId="1" fillId="6" borderId="18" xfId="5" applyNumberFormat="1" applyFont="1" applyFill="1" applyBorder="1" applyAlignment="1">
      <alignment horizontal="left" vertical="center"/>
    </xf>
    <xf numFmtId="164" fontId="11" fillId="11" borderId="19" xfId="1" applyFont="1" applyFill="1" applyBorder="1" applyAlignment="1">
      <alignment horizontal="center" vertical="center"/>
    </xf>
    <xf numFmtId="164" fontId="11" fillId="11" borderId="20" xfId="1" applyFont="1" applyFill="1" applyBorder="1" applyAlignment="1">
      <alignment horizontal="center" vertical="center"/>
    </xf>
    <xf numFmtId="0" fontId="1" fillId="8" borderId="14" xfId="0" applyFont="1" applyFill="1" applyBorder="1" applyAlignment="1">
      <alignment horizontal="center" vertical="center"/>
    </xf>
    <xf numFmtId="0" fontId="1" fillId="8" borderId="21" xfId="0" applyFont="1" applyFill="1" applyBorder="1" applyAlignment="1">
      <alignment horizontal="center" vertical="center"/>
    </xf>
    <xf numFmtId="164" fontId="3" fillId="12" borderId="22" xfId="1" applyFont="1" applyFill="1" applyBorder="1" applyAlignment="1">
      <alignment horizontal="center" vertical="center"/>
    </xf>
    <xf numFmtId="164" fontId="12" fillId="12" borderId="23" xfId="1" applyFont="1" applyFill="1" applyBorder="1" applyAlignment="1">
      <alignment horizontal="center" vertical="center"/>
    </xf>
    <xf numFmtId="164" fontId="12" fillId="12" borderId="24" xfId="1" applyFont="1" applyFill="1" applyBorder="1" applyAlignment="1">
      <alignment horizontal="center" vertical="center"/>
    </xf>
    <xf numFmtId="1" fontId="3" fillId="13" borderId="8" xfId="5" applyNumberFormat="1" applyFont="1" applyFill="1" applyBorder="1" applyAlignment="1">
      <alignment horizontal="center" vertical="center" wrapText="1"/>
    </xf>
    <xf numFmtId="1" fontId="3" fillId="13" borderId="25" xfId="5" applyNumberFormat="1"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1" fillId="6" borderId="27" xfId="5" applyNumberFormat="1" applyFont="1" applyFill="1" applyBorder="1" applyAlignment="1">
      <alignment horizontal="center" vertical="center" wrapText="1"/>
    </xf>
    <xf numFmtId="1" fontId="1" fillId="8" borderId="28" xfId="5" applyNumberFormat="1" applyFont="1" applyFill="1" applyBorder="1" applyAlignment="1">
      <alignment horizontal="center" vertical="center" wrapText="1"/>
    </xf>
    <xf numFmtId="49" fontId="1" fillId="3" borderId="29" xfId="5" applyNumberFormat="1" applyFont="1" applyFill="1" applyBorder="1" applyAlignment="1">
      <alignment horizontal="center" vertical="center" wrapText="1"/>
    </xf>
    <xf numFmtId="1" fontId="1" fillId="7" borderId="5" xfId="5" applyNumberFormat="1" applyFont="1" applyFill="1" applyBorder="1" applyAlignment="1">
      <alignment horizontal="center" vertical="center" wrapText="1"/>
    </xf>
    <xf numFmtId="1" fontId="1" fillId="7" borderId="30" xfId="5" applyNumberFormat="1" applyFont="1" applyFill="1" applyBorder="1" applyAlignment="1">
      <alignment horizontal="center" vertical="center" wrapText="1"/>
    </xf>
    <xf numFmtId="49" fontId="3" fillId="14" borderId="26" xfId="0" applyNumberFormat="1" applyFont="1" applyFill="1" applyBorder="1" applyAlignment="1">
      <alignment horizontal="center" vertical="center" wrapText="1"/>
    </xf>
    <xf numFmtId="49" fontId="1" fillId="14" borderId="27" xfId="5" applyNumberFormat="1" applyFont="1" applyFill="1" applyBorder="1" applyAlignment="1">
      <alignment horizontal="center" vertical="center" wrapText="1"/>
    </xf>
    <xf numFmtId="0" fontId="1" fillId="14" borderId="31" xfId="0" applyNumberFormat="1" applyFont="1" applyFill="1" applyBorder="1" applyAlignment="1">
      <alignment horizontal="center" vertical="center"/>
    </xf>
    <xf numFmtId="0" fontId="3" fillId="14" borderId="32" xfId="5" applyNumberFormat="1" applyFont="1" applyFill="1" applyBorder="1" applyAlignment="1">
      <alignment horizontal="center" vertical="center" wrapText="1"/>
    </xf>
    <xf numFmtId="0" fontId="1" fillId="14" borderId="32" xfId="5" applyNumberFormat="1" applyFont="1" applyFill="1" applyBorder="1" applyAlignment="1">
      <alignment horizontal="center" vertical="center" wrapText="1"/>
    </xf>
    <xf numFmtId="0" fontId="1" fillId="14" borderId="33" xfId="5" applyNumberFormat="1" applyFont="1" applyFill="1" applyBorder="1" applyAlignment="1">
      <alignment horizontal="center" vertical="center" wrapText="1"/>
    </xf>
    <xf numFmtId="164" fontId="26" fillId="0" borderId="0" xfId="1" applyFont="1" applyAlignment="1">
      <alignment horizontal="center" vertical="center"/>
    </xf>
    <xf numFmtId="0" fontId="0" fillId="15" borderId="0" xfId="0" applyFill="1"/>
    <xf numFmtId="0" fontId="30" fillId="15" borderId="8" xfId="0" applyFont="1" applyFill="1" applyBorder="1"/>
    <xf numFmtId="1" fontId="30" fillId="15" borderId="8" xfId="0" applyNumberFormat="1" applyFont="1" applyFill="1" applyBorder="1" applyAlignment="1">
      <alignment horizontal="left"/>
    </xf>
    <xf numFmtId="0" fontId="32" fillId="0" borderId="0" xfId="0" applyFont="1" applyFill="1" applyAlignment="1">
      <alignment horizontal="right"/>
    </xf>
    <xf numFmtId="49" fontId="1" fillId="12" borderId="10" xfId="0" applyNumberFormat="1" applyFont="1" applyFill="1" applyBorder="1" applyAlignment="1">
      <alignment horizontal="right" vertical="center"/>
    </xf>
    <xf numFmtId="49" fontId="1" fillId="14" borderId="10" xfId="0" applyNumberFormat="1" applyFont="1" applyFill="1" applyBorder="1" applyAlignment="1">
      <alignment horizontal="right" vertical="center"/>
    </xf>
    <xf numFmtId="49" fontId="1" fillId="16" borderId="10" xfId="0" applyNumberFormat="1" applyFont="1" applyFill="1" applyBorder="1" applyAlignment="1">
      <alignment horizontal="right" vertical="center"/>
    </xf>
    <xf numFmtId="49" fontId="1" fillId="16" borderId="10" xfId="0" applyNumberFormat="1" applyFont="1" applyFill="1" applyBorder="1" applyAlignment="1">
      <alignment horizontal="right" vertical="center" wrapText="1"/>
    </xf>
    <xf numFmtId="0" fontId="12" fillId="17" borderId="34" xfId="0" applyFont="1" applyFill="1" applyBorder="1" applyAlignment="1">
      <alignment vertical="center" wrapText="1"/>
    </xf>
    <xf numFmtId="0" fontId="12" fillId="17" borderId="35" xfId="0" applyFont="1" applyFill="1" applyBorder="1" applyAlignment="1">
      <alignment vertical="center" wrapText="1"/>
    </xf>
    <xf numFmtId="0" fontId="1" fillId="7" borderId="8" xfId="0" applyFont="1" applyFill="1" applyBorder="1" applyAlignment="1">
      <alignment horizontal="center" vertical="center"/>
    </xf>
    <xf numFmtId="0" fontId="1" fillId="7" borderId="37" xfId="0" applyFont="1" applyFill="1" applyBorder="1" applyAlignment="1">
      <alignment horizontal="center" vertical="center"/>
    </xf>
    <xf numFmtId="1" fontId="3" fillId="13" borderId="8" xfId="0" applyNumberFormat="1" applyFont="1" applyFill="1" applyBorder="1" applyAlignment="1">
      <alignment horizontal="center" vertical="center"/>
    </xf>
    <xf numFmtId="0" fontId="1" fillId="0" borderId="0" xfId="0" applyFont="1" applyFill="1" applyAlignment="1">
      <alignment vertical="center"/>
    </xf>
    <xf numFmtId="0" fontId="1" fillId="0" borderId="0" xfId="0" applyFont="1" applyAlignment="1">
      <alignment vertical="center"/>
    </xf>
    <xf numFmtId="0" fontId="1" fillId="7" borderId="0" xfId="0" applyFont="1" applyFill="1" applyAlignment="1">
      <alignment vertical="center"/>
    </xf>
    <xf numFmtId="0" fontId="1" fillId="15" borderId="8" xfId="0" applyFont="1" applyFill="1" applyBorder="1" applyAlignment="1">
      <alignment horizontal="center" vertical="center"/>
    </xf>
    <xf numFmtId="0" fontId="10" fillId="18" borderId="10" xfId="0" applyFont="1" applyFill="1" applyBorder="1" applyAlignment="1">
      <alignment vertical="center"/>
    </xf>
    <xf numFmtId="0" fontId="1" fillId="18" borderId="22" xfId="0" applyFont="1" applyFill="1" applyBorder="1" applyAlignment="1">
      <alignment vertical="center"/>
    </xf>
    <xf numFmtId="0" fontId="1" fillId="18" borderId="24" xfId="0" applyFont="1" applyFill="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0" fontId="1" fillId="19" borderId="38" xfId="0" applyFont="1" applyFill="1" applyBorder="1" applyAlignment="1">
      <alignment vertical="center"/>
    </xf>
    <xf numFmtId="0" fontId="1" fillId="19" borderId="40" xfId="0" applyFont="1" applyFill="1" applyBorder="1" applyAlignment="1">
      <alignment vertical="center"/>
    </xf>
    <xf numFmtId="0" fontId="1" fillId="14" borderId="22" xfId="0" applyFont="1" applyFill="1" applyBorder="1" applyAlignment="1">
      <alignment vertical="center"/>
    </xf>
    <xf numFmtId="0" fontId="1" fillId="14" borderId="22" xfId="0" applyFont="1" applyFill="1" applyBorder="1" applyAlignment="1">
      <alignment horizontal="center" vertical="center"/>
    </xf>
    <xf numFmtId="0" fontId="1" fillId="10" borderId="22" xfId="0" applyFont="1" applyFill="1" applyBorder="1" applyAlignment="1">
      <alignment vertical="center"/>
    </xf>
    <xf numFmtId="0" fontId="1" fillId="10" borderId="22" xfId="0" applyFont="1" applyFill="1" applyBorder="1" applyAlignment="1">
      <alignment horizontal="center" vertical="center"/>
    </xf>
    <xf numFmtId="0" fontId="1" fillId="8" borderId="0" xfId="0" applyFont="1" applyFill="1" applyAlignment="1">
      <alignment vertical="center"/>
    </xf>
    <xf numFmtId="0" fontId="1" fillId="16" borderId="22" xfId="0" applyFont="1" applyFill="1" applyBorder="1" applyAlignment="1">
      <alignment vertical="center"/>
    </xf>
    <xf numFmtId="0" fontId="1" fillId="16" borderId="22" xfId="0" applyFont="1" applyFill="1" applyBorder="1" applyAlignment="1">
      <alignment horizontal="center" vertical="center"/>
    </xf>
    <xf numFmtId="0" fontId="1" fillId="0" borderId="14" xfId="0" applyFont="1" applyBorder="1" applyAlignment="1">
      <alignment vertical="center"/>
    </xf>
    <xf numFmtId="0" fontId="1" fillId="0" borderId="21" xfId="0" applyFont="1" applyBorder="1" applyAlignment="1">
      <alignment vertical="center"/>
    </xf>
    <xf numFmtId="0" fontId="1" fillId="12" borderId="22" xfId="0" applyFont="1" applyFill="1" applyBorder="1" applyAlignment="1">
      <alignment vertical="center"/>
    </xf>
    <xf numFmtId="2" fontId="1" fillId="12" borderId="22" xfId="3" applyNumberFormat="1" applyFont="1" applyFill="1" applyBorder="1" applyAlignment="1">
      <alignment horizontal="center" vertical="center"/>
    </xf>
    <xf numFmtId="2" fontId="1" fillId="12" borderId="23" xfId="3" applyNumberFormat="1" applyFont="1" applyFill="1" applyBorder="1" applyAlignment="1">
      <alignment horizontal="center" vertical="center"/>
    </xf>
    <xf numFmtId="2" fontId="1" fillId="12" borderId="24" xfId="3" applyNumberFormat="1" applyFont="1" applyFill="1" applyBorder="1" applyAlignment="1">
      <alignment horizontal="center" vertical="center"/>
    </xf>
    <xf numFmtId="0" fontId="1" fillId="9" borderId="10" xfId="0" applyFont="1" applyFill="1" applyBorder="1" applyAlignment="1">
      <alignment horizontal="right" vertical="center"/>
    </xf>
    <xf numFmtId="0" fontId="1" fillId="9" borderId="22" xfId="0" applyFont="1" applyFill="1" applyBorder="1" applyAlignment="1">
      <alignment vertical="center"/>
    </xf>
    <xf numFmtId="2" fontId="1" fillId="9" borderId="22" xfId="0" applyNumberFormat="1" applyFont="1" applyFill="1" applyBorder="1" applyAlignment="1">
      <alignment horizontal="center" vertical="center"/>
    </xf>
    <xf numFmtId="0" fontId="0" fillId="20" borderId="0" xfId="0" applyFill="1"/>
    <xf numFmtId="0" fontId="34" fillId="20" borderId="0" xfId="0" applyFont="1" applyFill="1"/>
    <xf numFmtId="49" fontId="1" fillId="0" borderId="14" xfId="5" applyNumberFormat="1" applyFont="1" applyFill="1" applyBorder="1" applyAlignment="1">
      <alignment horizontal="right" vertical="center" wrapText="1"/>
    </xf>
    <xf numFmtId="49" fontId="1" fillId="2" borderId="0" xfId="5" applyNumberFormat="1" applyFont="1" applyFill="1" applyBorder="1" applyAlignment="1">
      <alignment horizontal="left" vertical="center" wrapText="1"/>
    </xf>
    <xf numFmtId="49" fontId="1" fillId="0" borderId="0" xfId="5" applyNumberFormat="1" applyFont="1" applyFill="1" applyBorder="1" applyAlignment="1">
      <alignment horizontal="center" vertical="center" wrapText="1"/>
    </xf>
    <xf numFmtId="49" fontId="1" fillId="6" borderId="41" xfId="5" applyNumberFormat="1" applyFont="1" applyFill="1" applyBorder="1" applyAlignment="1">
      <alignment horizontal="center" vertical="center" wrapText="1"/>
    </xf>
    <xf numFmtId="49" fontId="1" fillId="0" borderId="42" xfId="5" applyNumberFormat="1" applyFont="1" applyFill="1" applyBorder="1" applyAlignment="1">
      <alignment horizontal="center" vertical="center" wrapText="1"/>
    </xf>
    <xf numFmtId="1" fontId="1" fillId="13" borderId="43" xfId="5" applyNumberFormat="1" applyFont="1" applyFill="1" applyBorder="1" applyAlignment="1">
      <alignment horizontal="center" vertical="center" wrapText="1"/>
    </xf>
    <xf numFmtId="1" fontId="1" fillId="7" borderId="44" xfId="5" applyNumberFormat="1" applyFont="1" applyFill="1" applyBorder="1" applyAlignment="1">
      <alignment horizontal="center" vertical="center" wrapText="1"/>
    </xf>
    <xf numFmtId="1" fontId="1" fillId="7" borderId="44" xfId="0" applyNumberFormat="1" applyFont="1" applyFill="1" applyBorder="1" applyAlignment="1">
      <alignment horizontal="center" vertical="center"/>
    </xf>
    <xf numFmtId="1" fontId="1" fillId="7" borderId="45" xfId="5" applyNumberFormat="1" applyFont="1" applyFill="1" applyBorder="1" applyAlignment="1">
      <alignment horizontal="center" vertical="center" wrapText="1"/>
    </xf>
    <xf numFmtId="49" fontId="1" fillId="3" borderId="46" xfId="5" applyNumberFormat="1" applyFont="1" applyFill="1" applyBorder="1" applyAlignment="1">
      <alignment horizontal="center" vertical="center" wrapText="1"/>
    </xf>
    <xf numFmtId="49" fontId="1" fillId="3" borderId="7" xfId="5" applyNumberFormat="1" applyFont="1" applyFill="1" applyBorder="1" applyAlignment="1">
      <alignment horizontal="center" vertical="center" wrapText="1"/>
    </xf>
    <xf numFmtId="49" fontId="1" fillId="0" borderId="12" xfId="5" applyNumberFormat="1" applyFont="1" applyFill="1" applyBorder="1" applyAlignment="1">
      <alignment horizontal="center" vertical="center" wrapText="1"/>
    </xf>
    <xf numFmtId="49" fontId="1" fillId="3" borderId="47" xfId="5" applyNumberFormat="1" applyFont="1" applyFill="1" applyBorder="1" applyAlignment="1">
      <alignment horizontal="center" vertical="center" wrapText="1"/>
    </xf>
    <xf numFmtId="1" fontId="3" fillId="13" borderId="16" xfId="5" applyNumberFormat="1" applyFont="1" applyFill="1" applyBorder="1" applyAlignment="1">
      <alignment horizontal="center" vertical="center" wrapText="1"/>
    </xf>
    <xf numFmtId="1" fontId="3" fillId="13" borderId="16" xfId="0" applyNumberFormat="1" applyFont="1" applyFill="1" applyBorder="1" applyAlignment="1">
      <alignment horizontal="center" vertical="center"/>
    </xf>
    <xf numFmtId="1" fontId="3" fillId="13" borderId="48" xfId="5" applyNumberFormat="1" applyFont="1" applyFill="1" applyBorder="1" applyAlignment="1">
      <alignment horizontal="center" vertical="center" wrapText="1"/>
    </xf>
    <xf numFmtId="49" fontId="1" fillId="0" borderId="13" xfId="5" applyNumberFormat="1" applyFont="1" applyFill="1" applyBorder="1" applyAlignment="1">
      <alignment horizontal="left" vertical="center"/>
    </xf>
    <xf numFmtId="49" fontId="1" fillId="0" borderId="0" xfId="5" applyNumberFormat="1" applyFont="1" applyFill="1" applyBorder="1" applyAlignment="1">
      <alignment horizontal="left" vertical="center"/>
    </xf>
    <xf numFmtId="1" fontId="1" fillId="10" borderId="22" xfId="0" applyNumberFormat="1" applyFont="1" applyFill="1" applyBorder="1" applyAlignment="1">
      <alignment horizontal="center" vertical="center"/>
    </xf>
    <xf numFmtId="167" fontId="26" fillId="20" borderId="8" xfId="1" applyNumberFormat="1" applyFont="1" applyFill="1" applyBorder="1" applyAlignment="1">
      <alignment horizontal="center" vertical="center"/>
    </xf>
    <xf numFmtId="167" fontId="26" fillId="0" borderId="0" xfId="1" applyNumberFormat="1" applyFont="1" applyFill="1" applyBorder="1" applyAlignment="1">
      <alignment horizontal="center" vertical="center"/>
    </xf>
    <xf numFmtId="167" fontId="29" fillId="9" borderId="20" xfId="1" applyNumberFormat="1" applyFont="1" applyFill="1" applyBorder="1" applyAlignment="1">
      <alignment horizontal="center" vertical="center"/>
    </xf>
    <xf numFmtId="167" fontId="26" fillId="0" borderId="0" xfId="1" applyNumberFormat="1" applyFont="1" applyAlignment="1">
      <alignment horizontal="center" vertical="center"/>
    </xf>
    <xf numFmtId="167" fontId="26" fillId="21" borderId="8" xfId="1" applyNumberFormat="1" applyFont="1" applyFill="1" applyBorder="1" applyAlignment="1">
      <alignment horizontal="left" vertical="center"/>
    </xf>
    <xf numFmtId="167" fontId="26" fillId="0" borderId="0" xfId="1" applyNumberFormat="1" applyFont="1" applyFill="1" applyAlignment="1">
      <alignment horizontal="left" vertical="center"/>
    </xf>
    <xf numFmtId="167" fontId="29" fillId="9" borderId="20" xfId="1" applyNumberFormat="1" applyFont="1" applyFill="1" applyBorder="1" applyAlignment="1">
      <alignment horizontal="left" vertical="center"/>
    </xf>
    <xf numFmtId="167" fontId="36" fillId="20" borderId="8" xfId="1" applyNumberFormat="1" applyFont="1" applyFill="1" applyBorder="1" applyAlignment="1">
      <alignment vertical="top" wrapText="1"/>
    </xf>
    <xf numFmtId="167" fontId="36" fillId="21" borderId="8" xfId="1" applyNumberFormat="1" applyFont="1" applyFill="1" applyBorder="1" applyAlignment="1">
      <alignment vertical="top" wrapText="1"/>
    </xf>
    <xf numFmtId="0" fontId="5" fillId="8" borderId="0" xfId="0" applyFont="1" applyFill="1"/>
    <xf numFmtId="0" fontId="5" fillId="8" borderId="0" xfId="0" applyNumberFormat="1" applyFont="1" applyFill="1" applyAlignment="1">
      <alignment horizontal="right"/>
    </xf>
    <xf numFmtId="0" fontId="5" fillId="21" borderId="0" xfId="0" applyFont="1" applyFill="1"/>
    <xf numFmtId="0" fontId="5" fillId="17" borderId="1" xfId="0" applyFont="1" applyFill="1" applyBorder="1"/>
    <xf numFmtId="0" fontId="5" fillId="17" borderId="43" xfId="0" applyFont="1" applyFill="1" applyBorder="1"/>
    <xf numFmtId="0" fontId="5" fillId="17" borderId="2" xfId="0" applyFont="1" applyFill="1" applyBorder="1"/>
    <xf numFmtId="0" fontId="5" fillId="17" borderId="3" xfId="0" applyFont="1" applyFill="1" applyBorder="1"/>
    <xf numFmtId="0" fontId="4" fillId="17" borderId="0" xfId="0" applyFont="1" applyFill="1" applyBorder="1"/>
    <xf numFmtId="0" fontId="5" fillId="17" borderId="0" xfId="0" applyFont="1" applyFill="1" applyBorder="1"/>
    <xf numFmtId="0" fontId="5" fillId="17" borderId="4" xfId="0" applyFont="1" applyFill="1" applyBorder="1"/>
    <xf numFmtId="0" fontId="5" fillId="21" borderId="0" xfId="0" applyFont="1" applyFill="1" applyBorder="1"/>
    <xf numFmtId="0" fontId="5" fillId="17" borderId="8" xfId="0" applyFont="1" applyFill="1" applyBorder="1" applyAlignment="1">
      <alignment horizontal="left" vertical="center"/>
    </xf>
    <xf numFmtId="0" fontId="5" fillId="17" borderId="8" xfId="0" applyFont="1" applyFill="1" applyBorder="1" applyAlignment="1">
      <alignment horizontal="center" vertical="center" wrapText="1"/>
    </xf>
    <xf numFmtId="0" fontId="5" fillId="17" borderId="8" xfId="0" applyFont="1" applyFill="1" applyBorder="1" applyAlignment="1">
      <alignment horizontal="left" vertical="center" wrapText="1"/>
    </xf>
    <xf numFmtId="0" fontId="5" fillId="17" borderId="3" xfId="0" applyFont="1" applyFill="1" applyBorder="1" applyAlignment="1">
      <alignment vertical="center"/>
    </xf>
    <xf numFmtId="0" fontId="4" fillId="17" borderId="10" xfId="0" applyFont="1" applyFill="1" applyBorder="1" applyAlignment="1">
      <alignment vertical="center"/>
    </xf>
    <xf numFmtId="0" fontId="37" fillId="17" borderId="0" xfId="0" applyFont="1" applyFill="1" applyBorder="1" applyAlignment="1">
      <alignment vertical="center"/>
    </xf>
    <xf numFmtId="0" fontId="5" fillId="17" borderId="0" xfId="0" applyFont="1" applyFill="1" applyBorder="1" applyAlignment="1">
      <alignment vertical="center"/>
    </xf>
    <xf numFmtId="0" fontId="5" fillId="17" borderId="4" xfId="0" applyFont="1" applyFill="1" applyBorder="1" applyAlignment="1">
      <alignment vertical="center"/>
    </xf>
    <xf numFmtId="0" fontId="5" fillId="21" borderId="0" xfId="0" applyFont="1" applyFill="1" applyAlignment="1">
      <alignment vertical="center"/>
    </xf>
    <xf numFmtId="0" fontId="37" fillId="17" borderId="0" xfId="0" applyFont="1" applyFill="1" applyBorder="1"/>
    <xf numFmtId="0" fontId="4" fillId="17" borderId="23" xfId="0" applyFont="1" applyFill="1" applyBorder="1" applyAlignment="1">
      <alignment horizontal="center" vertical="center" wrapText="1"/>
    </xf>
    <xf numFmtId="0" fontId="37" fillId="17" borderId="49" xfId="0" applyFont="1" applyFill="1" applyBorder="1" applyAlignment="1">
      <alignment horizontal="center" vertical="center"/>
    </xf>
    <xf numFmtId="0" fontId="5" fillId="17" borderId="8" xfId="0" applyFont="1" applyFill="1" applyBorder="1" applyAlignment="1">
      <alignment horizontal="center" vertical="center"/>
    </xf>
    <xf numFmtId="0" fontId="5" fillId="17" borderId="4" xfId="0" applyFont="1" applyFill="1" applyBorder="1" applyAlignment="1">
      <alignment horizontal="center" vertical="center"/>
    </xf>
    <xf numFmtId="0" fontId="38" fillId="8" borderId="27" xfId="0" applyFont="1" applyFill="1" applyBorder="1" applyAlignment="1" applyProtection="1">
      <alignment horizontal="center" vertical="center"/>
      <protection locked="0"/>
    </xf>
    <xf numFmtId="0" fontId="38" fillId="8" borderId="32" xfId="0" applyFont="1" applyFill="1" applyBorder="1" applyAlignment="1" applyProtection="1">
      <alignment horizontal="center" vertical="center"/>
      <protection locked="0"/>
    </xf>
    <xf numFmtId="0" fontId="38" fillId="8" borderId="33" xfId="0" applyFont="1" applyFill="1" applyBorder="1" applyAlignment="1" applyProtection="1">
      <alignment horizontal="center" vertical="center"/>
      <protection locked="0"/>
    </xf>
    <xf numFmtId="0" fontId="4" fillId="17" borderId="8" xfId="0" applyFont="1" applyFill="1" applyBorder="1" applyAlignment="1">
      <alignment horizontal="center" vertical="center"/>
    </xf>
    <xf numFmtId="0" fontId="4" fillId="17" borderId="4" xfId="0" applyFont="1" applyFill="1" applyBorder="1" applyAlignment="1">
      <alignment horizontal="center" vertical="center"/>
    </xf>
    <xf numFmtId="0" fontId="5" fillId="17" borderId="8" xfId="0" applyFont="1" applyFill="1" applyBorder="1" applyAlignment="1">
      <alignment vertical="center"/>
    </xf>
    <xf numFmtId="0" fontId="5" fillId="17" borderId="0" xfId="0" applyFont="1" applyFill="1" applyBorder="1" applyAlignment="1">
      <alignment horizontal="left" vertical="center"/>
    </xf>
    <xf numFmtId="1" fontId="5" fillId="17" borderId="26" xfId="0" applyNumberFormat="1" applyFont="1" applyFill="1" applyBorder="1" applyAlignment="1">
      <alignment horizontal="center" vertical="center"/>
    </xf>
    <xf numFmtId="0" fontId="5" fillId="17" borderId="5" xfId="0" applyFont="1" applyFill="1" applyBorder="1"/>
    <xf numFmtId="0" fontId="5" fillId="17" borderId="6" xfId="0" applyFont="1" applyFill="1" applyBorder="1"/>
    <xf numFmtId="0" fontId="5" fillId="17" borderId="7" xfId="0" applyFont="1" applyFill="1" applyBorder="1"/>
    <xf numFmtId="0" fontId="1" fillId="0" borderId="0" xfId="0" applyFont="1" applyFill="1" applyAlignment="1">
      <alignment horizontal="center" vertical="center"/>
    </xf>
    <xf numFmtId="1" fontId="1" fillId="6" borderId="44" xfId="5" applyNumberFormat="1" applyFont="1" applyFill="1" applyBorder="1" applyAlignment="1">
      <alignment horizontal="center" vertical="center" wrapText="1"/>
    </xf>
    <xf numFmtId="1" fontId="1" fillId="6" borderId="50" xfId="5" applyNumberFormat="1" applyFont="1" applyFill="1" applyBorder="1" applyAlignment="1">
      <alignment horizontal="center" vertical="center" wrapText="1"/>
    </xf>
    <xf numFmtId="0" fontId="1" fillId="0" borderId="0" xfId="0" applyFont="1" applyAlignment="1">
      <alignment horizontal="center" vertical="center"/>
    </xf>
    <xf numFmtId="168" fontId="39" fillId="0" borderId="0" xfId="0" applyNumberFormat="1" applyFont="1" applyAlignment="1">
      <alignment vertical="center"/>
    </xf>
    <xf numFmtId="0" fontId="33" fillId="17" borderId="0" xfId="0" applyFont="1" applyFill="1" applyBorder="1" applyAlignment="1">
      <alignment horizontal="right"/>
    </xf>
    <xf numFmtId="0" fontId="33" fillId="17" borderId="7" xfId="0" applyFont="1" applyFill="1" applyBorder="1" applyAlignment="1">
      <alignment horizontal="right"/>
    </xf>
    <xf numFmtId="0" fontId="4" fillId="17" borderId="0" xfId="0" applyFont="1" applyFill="1" applyBorder="1" applyAlignment="1">
      <alignment vertical="center"/>
    </xf>
    <xf numFmtId="0" fontId="40" fillId="17" borderId="0" xfId="0" applyFont="1" applyFill="1" applyBorder="1" applyAlignment="1">
      <alignment horizontal="right"/>
    </xf>
    <xf numFmtId="1" fontId="1" fillId="7" borderId="43" xfId="5" applyNumberFormat="1" applyFont="1" applyFill="1" applyBorder="1" applyAlignment="1">
      <alignment horizontal="center" vertical="center" wrapText="1"/>
    </xf>
    <xf numFmtId="0" fontId="1" fillId="0" borderId="38" xfId="0" applyFont="1" applyFill="1" applyBorder="1" applyAlignment="1">
      <alignment vertical="center"/>
    </xf>
    <xf numFmtId="49" fontId="1" fillId="6" borderId="12" xfId="5" applyNumberFormat="1" applyFont="1" applyFill="1" applyBorder="1" applyAlignment="1">
      <alignment horizontal="right" vertical="center" wrapText="1"/>
    </xf>
    <xf numFmtId="49" fontId="1" fillId="6" borderId="13" xfId="5" applyNumberFormat="1" applyFont="1" applyFill="1" applyBorder="1" applyAlignment="1">
      <alignment horizontal="left" vertical="center" wrapText="1"/>
    </xf>
    <xf numFmtId="49" fontId="1" fillId="6" borderId="13" xfId="5" applyNumberFormat="1" applyFont="1" applyFill="1" applyBorder="1" applyAlignment="1">
      <alignment horizontal="left" vertical="center"/>
    </xf>
    <xf numFmtId="1" fontId="1" fillId="7" borderId="13" xfId="5" applyNumberFormat="1" applyFont="1" applyFill="1" applyBorder="1" applyAlignment="1">
      <alignment horizontal="center" vertical="center" wrapText="1"/>
    </xf>
    <xf numFmtId="1" fontId="1" fillId="7" borderId="29" xfId="5" applyNumberFormat="1" applyFont="1" applyFill="1" applyBorder="1" applyAlignment="1">
      <alignment horizontal="center" vertical="center" wrapText="1"/>
    </xf>
    <xf numFmtId="0" fontId="1" fillId="14" borderId="27" xfId="5" applyNumberFormat="1" applyFont="1" applyFill="1" applyBorder="1" applyAlignment="1">
      <alignment horizontal="center" vertical="center" wrapText="1"/>
    </xf>
    <xf numFmtId="1" fontId="1" fillId="7" borderId="42" xfId="5" applyNumberFormat="1" applyFont="1" applyFill="1" applyBorder="1" applyAlignment="1">
      <alignment horizontal="center" vertical="center" wrapText="1"/>
    </xf>
    <xf numFmtId="1" fontId="3" fillId="13" borderId="12" xfId="5" applyNumberFormat="1" applyFont="1" applyFill="1" applyBorder="1" applyAlignment="1">
      <alignment horizontal="center" vertical="center" wrapText="1"/>
    </xf>
    <xf numFmtId="1" fontId="3" fillId="13" borderId="13" xfId="5" applyNumberFormat="1" applyFont="1" applyFill="1" applyBorder="1" applyAlignment="1">
      <alignment horizontal="center" vertical="center" wrapText="1"/>
    </xf>
    <xf numFmtId="0" fontId="1" fillId="0" borderId="14" xfId="0" applyFont="1" applyFill="1" applyBorder="1" applyAlignment="1">
      <alignment vertical="center"/>
    </xf>
    <xf numFmtId="0" fontId="1" fillId="0" borderId="34" xfId="0" applyFont="1" applyFill="1" applyBorder="1" applyAlignment="1">
      <alignment vertical="center"/>
    </xf>
    <xf numFmtId="2" fontId="1" fillId="8" borderId="0" xfId="5" applyNumberFormat="1" applyFont="1" applyFill="1" applyBorder="1" applyAlignment="1">
      <alignment horizontal="center" vertical="center" wrapText="1"/>
    </xf>
    <xf numFmtId="168" fontId="1" fillId="8" borderId="0" xfId="5" applyNumberFormat="1" applyFont="1" applyFill="1" applyBorder="1" applyAlignment="1">
      <alignment horizontal="center" vertical="center" wrapText="1"/>
    </xf>
    <xf numFmtId="49" fontId="1" fillId="8" borderId="39" xfId="5" applyNumberFormat="1" applyFont="1" applyFill="1" applyBorder="1" applyAlignment="1">
      <alignment horizontal="center" vertical="center" wrapText="1"/>
    </xf>
    <xf numFmtId="0" fontId="1" fillId="6" borderId="29" xfId="5" applyNumberFormat="1" applyFont="1" applyFill="1" applyBorder="1" applyAlignment="1">
      <alignment horizontal="center" vertical="center"/>
    </xf>
    <xf numFmtId="0" fontId="1" fillId="6" borderId="13" xfId="5" applyNumberFormat="1" applyFont="1" applyFill="1" applyBorder="1" applyAlignment="1">
      <alignment horizontal="center" vertical="center" wrapText="1"/>
    </xf>
    <xf numFmtId="0" fontId="1" fillId="6" borderId="29" xfId="5" applyNumberFormat="1" applyFont="1" applyFill="1" applyBorder="1" applyAlignment="1">
      <alignment horizontal="center" vertical="center" wrapText="1"/>
    </xf>
    <xf numFmtId="0" fontId="1" fillId="6" borderId="27" xfId="5" applyNumberFormat="1" applyFont="1" applyFill="1" applyBorder="1" applyAlignment="1">
      <alignment horizontal="center" vertical="center" wrapText="1"/>
    </xf>
    <xf numFmtId="0" fontId="1" fillId="6" borderId="51" xfId="5" applyNumberFormat="1" applyFont="1" applyFill="1" applyBorder="1" applyAlignment="1">
      <alignment horizontal="center" vertical="center" wrapText="1"/>
    </xf>
    <xf numFmtId="0" fontId="3" fillId="6" borderId="51" xfId="5" applyNumberFormat="1" applyFont="1" applyFill="1" applyBorder="1" applyAlignment="1">
      <alignment horizontal="center" vertical="center" wrapText="1"/>
    </xf>
    <xf numFmtId="0" fontId="1" fillId="6" borderId="36" xfId="5" applyNumberFormat="1" applyFont="1" applyFill="1" applyBorder="1" applyAlignment="1">
      <alignment horizontal="center" vertical="center" wrapText="1"/>
    </xf>
    <xf numFmtId="1" fontId="1" fillId="13" borderId="52" xfId="5" applyNumberFormat="1" applyFont="1" applyFill="1" applyBorder="1" applyAlignment="1">
      <alignment horizontal="center" vertical="center" wrapText="1"/>
    </xf>
    <xf numFmtId="1" fontId="1" fillId="13" borderId="53" xfId="5" applyNumberFormat="1" applyFont="1" applyFill="1" applyBorder="1" applyAlignment="1">
      <alignment horizontal="center" vertical="center" wrapText="1"/>
    </xf>
    <xf numFmtId="1" fontId="1" fillId="13" borderId="54" xfId="5" applyNumberFormat="1" applyFont="1" applyFill="1" applyBorder="1" applyAlignment="1">
      <alignment horizontal="center" vertical="center" wrapText="1"/>
    </xf>
    <xf numFmtId="1" fontId="1" fillId="13" borderId="2" xfId="5" applyNumberFormat="1" applyFont="1" applyFill="1" applyBorder="1" applyAlignment="1">
      <alignment horizontal="center" vertical="center" wrapText="1"/>
    </xf>
    <xf numFmtId="1" fontId="1" fillId="7" borderId="8" xfId="0" applyNumberFormat="1" applyFont="1" applyFill="1" applyBorder="1" applyAlignment="1">
      <alignment horizontal="center" vertical="center"/>
    </xf>
    <xf numFmtId="1" fontId="1" fillId="6" borderId="13" xfId="5" applyNumberFormat="1" applyFont="1" applyFill="1" applyBorder="1" applyAlignment="1">
      <alignment horizontal="center" vertical="center" wrapText="1"/>
    </xf>
    <xf numFmtId="0" fontId="1" fillId="16" borderId="47" xfId="0" applyFont="1" applyFill="1" applyBorder="1" applyAlignment="1">
      <alignment horizontal="center" vertical="center"/>
    </xf>
    <xf numFmtId="0" fontId="1" fillId="16" borderId="55" xfId="0" applyFont="1" applyFill="1" applyBorder="1" applyAlignment="1">
      <alignment horizontal="center" vertical="center"/>
    </xf>
    <xf numFmtId="1" fontId="1" fillId="7" borderId="25" xfId="5" applyNumberFormat="1" applyFont="1" applyFill="1" applyBorder="1" applyAlignment="1">
      <alignment horizontal="center" vertical="center" wrapText="1"/>
    </xf>
    <xf numFmtId="0" fontId="1" fillId="16" borderId="56" xfId="0" applyFont="1" applyFill="1" applyBorder="1" applyAlignment="1">
      <alignment horizontal="center" vertical="center"/>
    </xf>
    <xf numFmtId="49" fontId="1" fillId="6" borderId="57" xfId="0" applyNumberFormat="1" applyFont="1" applyFill="1" applyBorder="1" applyAlignment="1">
      <alignment horizontal="right" vertical="center"/>
    </xf>
    <xf numFmtId="0" fontId="1" fillId="6" borderId="58" xfId="0" applyFont="1" applyFill="1" applyBorder="1" applyAlignment="1">
      <alignment vertical="center" wrapText="1"/>
    </xf>
    <xf numFmtId="1" fontId="1" fillId="7" borderId="58" xfId="5" applyNumberFormat="1" applyFont="1" applyFill="1" applyBorder="1" applyAlignment="1">
      <alignment horizontal="center" vertical="center" wrapText="1"/>
    </xf>
    <xf numFmtId="1" fontId="1" fillId="7" borderId="3" xfId="5" applyNumberFormat="1" applyFont="1" applyFill="1" applyBorder="1" applyAlignment="1">
      <alignment horizontal="center" vertical="center" wrapText="1"/>
    </xf>
    <xf numFmtId="0" fontId="3" fillId="14" borderId="27" xfId="5" applyNumberFormat="1" applyFont="1" applyFill="1" applyBorder="1" applyAlignment="1">
      <alignment horizontal="center" vertical="center" wrapText="1"/>
    </xf>
    <xf numFmtId="49" fontId="1" fillId="6" borderId="57" xfId="5" applyNumberFormat="1" applyFont="1" applyFill="1" applyBorder="1" applyAlignment="1">
      <alignment horizontal="right" vertical="center" wrapText="1"/>
    </xf>
    <xf numFmtId="49" fontId="1" fillId="6" borderId="58" xfId="5" applyNumberFormat="1" applyFont="1" applyFill="1" applyBorder="1" applyAlignment="1">
      <alignment horizontal="left" vertical="center" wrapText="1"/>
    </xf>
    <xf numFmtId="49" fontId="1" fillId="6" borderId="58" xfId="5" applyNumberFormat="1" applyFont="1" applyFill="1" applyBorder="1" applyAlignment="1">
      <alignment horizontal="left" vertical="center"/>
    </xf>
    <xf numFmtId="0" fontId="1" fillId="14" borderId="41" xfId="5" applyNumberFormat="1" applyFont="1" applyFill="1" applyBorder="1" applyAlignment="1">
      <alignment horizontal="center" vertical="center" wrapText="1"/>
    </xf>
    <xf numFmtId="0" fontId="27" fillId="0" borderId="0" xfId="6"/>
    <xf numFmtId="0" fontId="5" fillId="8" borderId="0" xfId="6" applyFont="1" applyFill="1" applyProtection="1"/>
    <xf numFmtId="0" fontId="5" fillId="0" borderId="0" xfId="6" applyFont="1" applyFill="1" applyProtection="1"/>
    <xf numFmtId="0" fontId="41" fillId="21" borderId="0" xfId="6" applyFont="1" applyFill="1" applyAlignment="1" applyProtection="1">
      <alignment horizontal="left" vertical="center"/>
    </xf>
    <xf numFmtId="0" fontId="18" fillId="8" borderId="0" xfId="6" applyFont="1" applyFill="1" applyProtection="1"/>
    <xf numFmtId="0" fontId="1" fillId="8" borderId="0" xfId="6" applyFont="1" applyFill="1" applyBorder="1" applyProtection="1"/>
    <xf numFmtId="0" fontId="18" fillId="8" borderId="0" xfId="6" applyFont="1" applyFill="1" applyBorder="1" applyProtection="1"/>
    <xf numFmtId="0" fontId="19" fillId="8" borderId="0" xfId="6" applyFont="1" applyFill="1" applyProtection="1"/>
    <xf numFmtId="0" fontId="42" fillId="8" borderId="0" xfId="6" applyFont="1" applyFill="1" applyBorder="1" applyProtection="1"/>
    <xf numFmtId="169" fontId="20" fillId="0" borderId="8" xfId="6" applyNumberFormat="1" applyFont="1" applyBorder="1" applyProtection="1"/>
    <xf numFmtId="169" fontId="42" fillId="5" borderId="8" xfId="6" applyNumberFormat="1" applyFont="1" applyFill="1" applyBorder="1" applyProtection="1"/>
    <xf numFmtId="169" fontId="42" fillId="22" borderId="8" xfId="6" applyNumberFormat="1" applyFont="1" applyFill="1" applyBorder="1" applyProtection="1"/>
    <xf numFmtId="169" fontId="42" fillId="20" borderId="8" xfId="6" applyNumberFormat="1" applyFont="1" applyFill="1" applyBorder="1" applyProtection="1"/>
    <xf numFmtId="169" fontId="42" fillId="23" borderId="8" xfId="6" applyNumberFormat="1" applyFont="1" applyFill="1" applyBorder="1" applyProtection="1"/>
    <xf numFmtId="0" fontId="5" fillId="8" borderId="0" xfId="0" applyFont="1" applyFill="1" applyBorder="1"/>
    <xf numFmtId="0" fontId="5" fillId="8" borderId="0" xfId="0" applyFont="1" applyFill="1" applyAlignment="1">
      <alignment vertical="center"/>
    </xf>
    <xf numFmtId="0" fontId="5" fillId="8" borderId="0" xfId="0" applyFont="1" applyFill="1" applyAlignment="1">
      <alignment horizontal="center" vertical="center"/>
    </xf>
    <xf numFmtId="169" fontId="20" fillId="0" borderId="49" xfId="6" applyNumberFormat="1" applyFont="1" applyBorder="1" applyProtection="1"/>
    <xf numFmtId="169" fontId="42" fillId="5" borderId="49" xfId="6" applyNumberFormat="1" applyFont="1" applyFill="1" applyBorder="1" applyProtection="1"/>
    <xf numFmtId="169" fontId="42" fillId="22" borderId="49" xfId="6" applyNumberFormat="1" applyFont="1" applyFill="1" applyBorder="1" applyProtection="1"/>
    <xf numFmtId="169" fontId="42" fillId="20" borderId="49" xfId="6" applyNumberFormat="1" applyFont="1" applyFill="1" applyBorder="1" applyProtection="1"/>
    <xf numFmtId="169" fontId="42" fillId="23" borderId="49" xfId="6" applyNumberFormat="1" applyFont="1" applyFill="1" applyBorder="1" applyProtection="1"/>
    <xf numFmtId="0" fontId="20" fillId="8" borderId="0" xfId="6" applyFont="1" applyFill="1" applyBorder="1" applyProtection="1"/>
    <xf numFmtId="0" fontId="28" fillId="20" borderId="0" xfId="2" applyFill="1" applyAlignment="1" applyProtection="1">
      <alignment vertical="center"/>
      <protection locked="0"/>
    </xf>
    <xf numFmtId="0" fontId="40" fillId="0" borderId="6" xfId="0" applyFont="1" applyFill="1" applyBorder="1" applyAlignment="1">
      <alignment horizontal="left"/>
    </xf>
    <xf numFmtId="0" fontId="1" fillId="15" borderId="58" xfId="0" applyFont="1" applyFill="1" applyBorder="1" applyAlignment="1">
      <alignment horizontal="center" vertical="center"/>
    </xf>
    <xf numFmtId="0" fontId="1" fillId="14" borderId="41" xfId="0" applyNumberFormat="1" applyFont="1" applyFill="1" applyBorder="1" applyAlignment="1">
      <alignment horizontal="center" vertical="center"/>
    </xf>
    <xf numFmtId="1" fontId="1" fillId="7" borderId="6" xfId="0" applyNumberFormat="1" applyFont="1" applyFill="1" applyBorder="1" applyAlignment="1">
      <alignment horizontal="center" vertical="center"/>
    </xf>
    <xf numFmtId="1" fontId="3" fillId="13" borderId="15" xfId="0" applyNumberFormat="1" applyFont="1" applyFill="1" applyBorder="1" applyAlignment="1">
      <alignment horizontal="center" vertical="center"/>
    </xf>
    <xf numFmtId="1" fontId="3" fillId="13" borderId="9" xfId="0" applyNumberFormat="1" applyFont="1" applyFill="1" applyBorder="1" applyAlignment="1">
      <alignment horizontal="center" vertical="center"/>
    </xf>
    <xf numFmtId="1" fontId="1" fillId="7" borderId="9" xfId="0" applyNumberFormat="1" applyFont="1" applyFill="1" applyBorder="1" applyAlignment="1">
      <alignment horizontal="center" vertical="center"/>
    </xf>
    <xf numFmtId="0" fontId="1" fillId="16" borderId="59" xfId="0" applyFont="1" applyFill="1" applyBorder="1" applyAlignment="1">
      <alignment horizontal="center" vertical="center"/>
    </xf>
    <xf numFmtId="1" fontId="1" fillId="7" borderId="37" xfId="5" applyNumberFormat="1" applyFont="1" applyFill="1" applyBorder="1" applyAlignment="1">
      <alignment horizontal="center" vertical="center" wrapText="1"/>
    </xf>
    <xf numFmtId="1" fontId="5" fillId="17" borderId="0" xfId="0" applyNumberFormat="1" applyFont="1" applyFill="1" applyBorder="1" applyAlignment="1">
      <alignment horizontal="center"/>
    </xf>
    <xf numFmtId="1" fontId="5" fillId="17" borderId="8" xfId="0" applyNumberFormat="1" applyFont="1" applyFill="1" applyBorder="1" applyAlignment="1">
      <alignment horizontal="center" vertical="center" wrapText="1"/>
    </xf>
    <xf numFmtId="1" fontId="5" fillId="17" borderId="33" xfId="0" applyNumberFormat="1" applyFont="1" applyFill="1" applyBorder="1" applyAlignment="1">
      <alignment horizontal="center" wrapText="1"/>
    </xf>
    <xf numFmtId="0" fontId="12" fillId="17" borderId="21" xfId="0" applyFont="1" applyFill="1" applyBorder="1" applyAlignment="1">
      <alignment horizontal="right" vertical="center" wrapText="1"/>
    </xf>
    <xf numFmtId="0" fontId="22" fillId="17" borderId="14" xfId="0" applyFont="1" applyFill="1" applyBorder="1" applyAlignment="1">
      <alignment vertical="center" wrapText="1"/>
    </xf>
    <xf numFmtId="0" fontId="12" fillId="17" borderId="0" xfId="0" applyFont="1" applyFill="1" applyBorder="1" applyAlignment="1">
      <alignment horizontal="right" vertical="center"/>
    </xf>
    <xf numFmtId="0" fontId="12" fillId="17" borderId="21" xfId="0" applyFont="1" applyFill="1" applyBorder="1" applyAlignment="1">
      <alignment vertical="center"/>
    </xf>
    <xf numFmtId="0" fontId="21" fillId="17" borderId="60" xfId="0" applyFont="1" applyFill="1" applyBorder="1" applyAlignment="1">
      <alignment vertical="center"/>
    </xf>
    <xf numFmtId="0" fontId="21" fillId="17" borderId="61" xfId="0" applyFont="1" applyFill="1" applyBorder="1" applyAlignment="1">
      <alignment vertical="center"/>
    </xf>
    <xf numFmtId="0" fontId="21" fillId="17" borderId="66" xfId="0" applyFont="1" applyFill="1" applyBorder="1" applyAlignment="1">
      <alignment vertical="center"/>
    </xf>
    <xf numFmtId="0" fontId="32" fillId="0" borderId="0" xfId="0" applyFont="1" applyFill="1" applyBorder="1" applyAlignment="1">
      <alignment horizontal="left"/>
    </xf>
    <xf numFmtId="0" fontId="22" fillId="17" borderId="0" xfId="0" applyFont="1" applyFill="1" applyBorder="1" applyAlignment="1">
      <alignment vertical="center" wrapText="1"/>
    </xf>
    <xf numFmtId="0" fontId="31" fillId="0" borderId="6" xfId="0" applyFont="1" applyFill="1" applyBorder="1" applyAlignment="1">
      <alignment horizontal="left"/>
    </xf>
    <xf numFmtId="0" fontId="0" fillId="0" borderId="0" xfId="0" applyProtection="1"/>
    <xf numFmtId="0" fontId="0" fillId="0" borderId="0" xfId="0" applyAlignment="1" applyProtection="1">
      <alignment horizontal="right"/>
    </xf>
    <xf numFmtId="174" fontId="1" fillId="17" borderId="31" xfId="5" applyNumberFormat="1" applyFont="1" applyFill="1" applyBorder="1" applyAlignment="1">
      <alignment horizontal="center" vertical="center" wrapText="1"/>
    </xf>
    <xf numFmtId="0" fontId="0" fillId="17" borderId="0" xfId="0" applyFill="1" applyProtection="1"/>
    <xf numFmtId="0" fontId="0" fillId="17" borderId="0" xfId="0" applyFill="1" applyAlignment="1" applyProtection="1">
      <alignment horizontal="right"/>
    </xf>
    <xf numFmtId="0" fontId="43" fillId="17" borderId="0" xfId="0" applyFont="1" applyFill="1" applyProtection="1"/>
    <xf numFmtId="0" fontId="44" fillId="17" borderId="0" xfId="0" applyFont="1" applyFill="1" applyProtection="1"/>
    <xf numFmtId="0" fontId="43" fillId="17" borderId="0" xfId="0" applyFont="1" applyFill="1" applyAlignment="1" applyProtection="1">
      <alignment horizontal="right"/>
    </xf>
    <xf numFmtId="0" fontId="44" fillId="17" borderId="0" xfId="0" applyFont="1" applyFill="1" applyAlignment="1" applyProtection="1"/>
    <xf numFmtId="0" fontId="0" fillId="8" borderId="1" xfId="0" applyFill="1" applyBorder="1" applyProtection="1"/>
    <xf numFmtId="0" fontId="0" fillId="8" borderId="43" xfId="0" applyFill="1" applyBorder="1" applyProtection="1"/>
    <xf numFmtId="0" fontId="0" fillId="8" borderId="43" xfId="0" applyFill="1" applyBorder="1" applyAlignment="1" applyProtection="1">
      <alignment horizontal="right"/>
    </xf>
    <xf numFmtId="0" fontId="0" fillId="8" borderId="2" xfId="0" applyFill="1" applyBorder="1" applyProtection="1"/>
    <xf numFmtId="0" fontId="0" fillId="8" borderId="3" xfId="0" applyFill="1" applyBorder="1" applyProtection="1"/>
    <xf numFmtId="0" fontId="0" fillId="8" borderId="0" xfId="0" applyFill="1" applyBorder="1" applyProtection="1"/>
    <xf numFmtId="0" fontId="30" fillId="8" borderId="0" xfId="0" applyFont="1" applyFill="1" applyBorder="1" applyAlignment="1" applyProtection="1">
      <alignment horizontal="right"/>
    </xf>
    <xf numFmtId="0" fontId="0" fillId="8" borderId="0" xfId="0" applyFont="1" applyFill="1" applyBorder="1" applyProtection="1"/>
    <xf numFmtId="0" fontId="30" fillId="8" borderId="0" xfId="0" applyFont="1" applyFill="1" applyBorder="1" applyProtection="1"/>
    <xf numFmtId="0" fontId="30" fillId="8" borderId="43" xfId="0" applyFont="1" applyFill="1" applyBorder="1" applyProtection="1"/>
    <xf numFmtId="0" fontId="30" fillId="8" borderId="43" xfId="0" applyFont="1" applyFill="1" applyBorder="1" applyAlignment="1" applyProtection="1">
      <alignment horizontal="right"/>
    </xf>
    <xf numFmtId="0" fontId="30" fillId="8" borderId="4" xfId="0" applyFont="1" applyFill="1" applyBorder="1" applyProtection="1"/>
    <xf numFmtId="0" fontId="0" fillId="8" borderId="0" xfId="0" applyFill="1" applyBorder="1" applyAlignment="1" applyProtection="1">
      <alignment horizontal="right"/>
    </xf>
    <xf numFmtId="0" fontId="0" fillId="8" borderId="4" xfId="0" applyFill="1" applyBorder="1" applyProtection="1"/>
    <xf numFmtId="0" fontId="30" fillId="8" borderId="4" xfId="0" applyFont="1" applyFill="1" applyBorder="1" applyAlignment="1" applyProtection="1">
      <alignment horizontal="center"/>
    </xf>
    <xf numFmtId="0" fontId="0" fillId="8" borderId="67" xfId="0" applyFill="1" applyBorder="1" applyProtection="1"/>
    <xf numFmtId="0" fontId="0" fillId="8" borderId="68" xfId="0" applyFill="1" applyBorder="1" applyProtection="1"/>
    <xf numFmtId="0" fontId="0" fillId="8" borderId="69" xfId="0" applyFill="1" applyBorder="1" applyProtection="1"/>
    <xf numFmtId="2" fontId="0" fillId="8" borderId="0" xfId="0" applyNumberFormat="1" applyFill="1" applyBorder="1" applyProtection="1"/>
    <xf numFmtId="0" fontId="0" fillId="8" borderId="8" xfId="0" applyFill="1" applyBorder="1" applyProtection="1"/>
    <xf numFmtId="0" fontId="0" fillId="8" borderId="8" xfId="0" applyFill="1" applyBorder="1" applyAlignment="1" applyProtection="1">
      <alignment horizontal="center"/>
    </xf>
    <xf numFmtId="0" fontId="0" fillId="8" borderId="5" xfId="0" applyFill="1" applyBorder="1" applyProtection="1"/>
    <xf numFmtId="0" fontId="0" fillId="8" borderId="6" xfId="0" applyFill="1" applyBorder="1" applyProtection="1"/>
    <xf numFmtId="0" fontId="0" fillId="8" borderId="6" xfId="0" applyFill="1" applyBorder="1" applyAlignment="1" applyProtection="1">
      <alignment horizontal="right"/>
    </xf>
    <xf numFmtId="0" fontId="0" fillId="8" borderId="7" xfId="0" applyFill="1" applyBorder="1" applyProtection="1"/>
    <xf numFmtId="1" fontId="0" fillId="8" borderId="0" xfId="0" applyNumberFormat="1" applyFill="1" applyBorder="1" applyAlignment="1" applyProtection="1">
      <alignment horizontal="center"/>
    </xf>
    <xf numFmtId="1" fontId="0" fillId="8" borderId="0" xfId="0" applyNumberFormat="1" applyFill="1" applyBorder="1" applyAlignment="1" applyProtection="1">
      <alignment horizontal="right"/>
    </xf>
    <xf numFmtId="14" fontId="0" fillId="8" borderId="0" xfId="0" applyNumberFormat="1" applyFill="1" applyBorder="1" applyProtection="1"/>
    <xf numFmtId="14" fontId="0" fillId="8" borderId="0" xfId="0" applyNumberFormat="1" applyFill="1" applyBorder="1" applyAlignment="1" applyProtection="1">
      <alignment horizontal="right"/>
    </xf>
    <xf numFmtId="1" fontId="0" fillId="8" borderId="0" xfId="0" applyNumberFormat="1" applyFill="1" applyBorder="1" applyProtection="1"/>
    <xf numFmtId="2" fontId="0" fillId="8" borderId="0" xfId="0" applyNumberFormat="1" applyFill="1" applyBorder="1" applyAlignment="1" applyProtection="1">
      <alignment horizontal="right"/>
    </xf>
    <xf numFmtId="0" fontId="23" fillId="24" borderId="0" xfId="7" applyFill="1" applyProtection="1">
      <protection locked="0"/>
    </xf>
    <xf numFmtId="0" fontId="0" fillId="24" borderId="0" xfId="0" applyFill="1" applyProtection="1"/>
    <xf numFmtId="0" fontId="0" fillId="24" borderId="0" xfId="0" applyFill="1" applyAlignment="1" applyProtection="1">
      <alignment horizontal="right"/>
    </xf>
    <xf numFmtId="165" fontId="30" fillId="8" borderId="4" xfId="8" applyNumberFormat="1" applyFont="1" applyFill="1" applyBorder="1" applyAlignment="1" applyProtection="1">
      <alignment horizontal="left" indent="1"/>
    </xf>
    <xf numFmtId="165" fontId="30" fillId="8" borderId="4" xfId="8" applyNumberFormat="1" applyFont="1" applyFill="1" applyBorder="1" applyProtection="1"/>
    <xf numFmtId="165" fontId="30" fillId="8" borderId="4" xfId="0" applyNumberFormat="1" applyFont="1" applyFill="1" applyBorder="1" applyProtection="1"/>
    <xf numFmtId="0" fontId="0" fillId="17" borderId="0" xfId="0" applyFill="1" applyAlignment="1" applyProtection="1">
      <alignment vertical="center"/>
    </xf>
    <xf numFmtId="0" fontId="0" fillId="8" borderId="3" xfId="0" applyFill="1" applyBorder="1" applyAlignment="1" applyProtection="1">
      <alignment vertical="center"/>
    </xf>
    <xf numFmtId="0" fontId="0" fillId="8" borderId="0" xfId="0" applyFill="1" applyBorder="1" applyAlignment="1" applyProtection="1">
      <alignment vertical="center"/>
    </xf>
    <xf numFmtId="0" fontId="30" fillId="8" borderId="0" xfId="0" applyFont="1" applyFill="1" applyBorder="1" applyAlignment="1" applyProtection="1">
      <alignment horizontal="right" vertical="center"/>
    </xf>
    <xf numFmtId="0" fontId="30" fillId="8" borderId="0" xfId="0" quotePrefix="1" applyFont="1" applyFill="1" applyBorder="1" applyAlignment="1" applyProtection="1">
      <alignment horizontal="right" vertical="center"/>
    </xf>
    <xf numFmtId="0" fontId="0" fillId="24" borderId="0" xfId="0" applyFill="1" applyAlignment="1" applyProtection="1">
      <alignment vertical="center"/>
    </xf>
    <xf numFmtId="0" fontId="0" fillId="0" borderId="0" xfId="0" applyAlignment="1" applyProtection="1">
      <alignment vertical="center"/>
    </xf>
    <xf numFmtId="0" fontId="0" fillId="8" borderId="3" xfId="0" applyFill="1" applyBorder="1" applyAlignment="1" applyProtection="1">
      <alignment vertical="top"/>
    </xf>
    <xf numFmtId="175" fontId="0" fillId="8" borderId="0" xfId="0" applyNumberFormat="1" applyFill="1" applyBorder="1" applyAlignment="1" applyProtection="1">
      <alignment horizontal="center"/>
    </xf>
    <xf numFmtId="165" fontId="30" fillId="8" borderId="4" xfId="0" applyNumberFormat="1" applyFont="1" applyFill="1" applyBorder="1" applyAlignment="1" applyProtection="1">
      <alignment vertical="center"/>
    </xf>
    <xf numFmtId="0" fontId="23" fillId="5" borderId="0" xfId="7" applyFill="1" applyBorder="1" applyProtection="1"/>
    <xf numFmtId="0" fontId="23" fillId="24" borderId="0" xfId="7" applyFill="1" applyProtection="1"/>
    <xf numFmtId="0" fontId="23" fillId="0" borderId="0" xfId="7" applyProtection="1"/>
    <xf numFmtId="0" fontId="23" fillId="4" borderId="0" xfId="7" applyFont="1" applyFill="1" applyBorder="1" applyAlignment="1" applyProtection="1"/>
    <xf numFmtId="0" fontId="23" fillId="4" borderId="0" xfId="7" applyFill="1" applyBorder="1" applyProtection="1"/>
    <xf numFmtId="0" fontId="23" fillId="4" borderId="0" xfId="7" applyFill="1" applyBorder="1" applyAlignment="1" applyProtection="1">
      <alignment horizontal="center"/>
    </xf>
    <xf numFmtId="0" fontId="23" fillId="4" borderId="0" xfId="7" applyFill="1" applyBorder="1" applyAlignment="1" applyProtection="1"/>
    <xf numFmtId="14" fontId="23" fillId="4" borderId="0" xfId="7" applyNumberFormat="1" applyFill="1" applyBorder="1" applyAlignment="1" applyProtection="1">
      <alignment horizontal="center"/>
    </xf>
    <xf numFmtId="0" fontId="23" fillId="25" borderId="72" xfId="7" applyFill="1" applyBorder="1" applyProtection="1"/>
    <xf numFmtId="14" fontId="23" fillId="25" borderId="72" xfId="7" applyNumberFormat="1" applyFill="1" applyBorder="1" applyAlignment="1" applyProtection="1">
      <alignment horizontal="center"/>
    </xf>
    <xf numFmtId="0" fontId="23" fillId="4" borderId="0" xfId="7" applyFill="1" applyProtection="1"/>
    <xf numFmtId="0" fontId="25" fillId="4" borderId="0" xfId="7" applyFont="1" applyFill="1" applyBorder="1" applyAlignment="1" applyProtection="1">
      <alignment vertical="center"/>
    </xf>
    <xf numFmtId="0" fontId="13" fillId="4" borderId="0" xfId="7" applyFont="1" applyFill="1" applyBorder="1" applyAlignment="1" applyProtection="1">
      <alignment vertical="center"/>
    </xf>
    <xf numFmtId="0" fontId="13" fillId="4" borderId="0" xfId="7" applyFont="1" applyFill="1" applyBorder="1" applyAlignment="1" applyProtection="1">
      <alignment horizontal="center" vertical="center"/>
    </xf>
    <xf numFmtId="0" fontId="23" fillId="4" borderId="0" xfId="7" applyFont="1" applyFill="1" applyBorder="1" applyAlignment="1" applyProtection="1">
      <alignment vertical="center"/>
    </xf>
    <xf numFmtId="49" fontId="25" fillId="4" borderId="0" xfId="7" applyNumberFormat="1" applyFont="1" applyFill="1" applyBorder="1" applyProtection="1"/>
    <xf numFmtId="0" fontId="45" fillId="4" borderId="0" xfId="7" applyFont="1" applyFill="1" applyBorder="1" applyProtection="1"/>
    <xf numFmtId="170" fontId="26" fillId="4" borderId="0" xfId="4" applyNumberFormat="1" applyFont="1" applyFill="1" applyBorder="1" applyAlignment="1" applyProtection="1"/>
    <xf numFmtId="171" fontId="23" fillId="4" borderId="0" xfId="7" applyNumberFormat="1" applyFill="1" applyBorder="1" applyProtection="1"/>
    <xf numFmtId="0" fontId="23" fillId="4" borderId="0" xfId="7" applyFill="1" applyBorder="1" applyAlignment="1" applyProtection="1">
      <alignment horizontal="right"/>
    </xf>
    <xf numFmtId="172" fontId="23" fillId="24" borderId="0" xfId="7" applyNumberFormat="1" applyFill="1" applyProtection="1"/>
    <xf numFmtId="2" fontId="23" fillId="4" borderId="0" xfId="7" applyNumberFormat="1" applyFill="1" applyBorder="1" applyProtection="1"/>
    <xf numFmtId="173" fontId="23" fillId="4" borderId="0" xfId="7" applyNumberFormat="1" applyFill="1" applyBorder="1" applyProtection="1"/>
    <xf numFmtId="0" fontId="23" fillId="0" borderId="0" xfId="7" applyFill="1" applyProtection="1"/>
    <xf numFmtId="0" fontId="24" fillId="4" borderId="0" xfId="7" applyFont="1" applyFill="1" applyBorder="1" applyProtection="1"/>
    <xf numFmtId="0" fontId="23" fillId="24" borderId="0" xfId="7" applyFill="1" applyBorder="1" applyProtection="1"/>
    <xf numFmtId="0" fontId="25" fillId="25" borderId="0" xfId="7" applyFont="1" applyFill="1" applyBorder="1" applyAlignment="1" applyProtection="1">
      <alignment vertical="center"/>
    </xf>
    <xf numFmtId="0" fontId="1" fillId="0" borderId="8" xfId="7" applyFont="1" applyFill="1" applyBorder="1" applyAlignment="1" applyProtection="1">
      <alignment horizontal="center"/>
      <protection locked="0"/>
    </xf>
    <xf numFmtId="14" fontId="1" fillId="0" borderId="8" xfId="7" applyNumberFormat="1" applyFont="1" applyFill="1" applyBorder="1" applyAlignment="1" applyProtection="1">
      <alignment horizontal="center"/>
      <protection locked="0"/>
    </xf>
    <xf numFmtId="168" fontId="30" fillId="8" borderId="4" xfId="0" applyNumberFormat="1" applyFont="1" applyFill="1" applyBorder="1" applyAlignment="1" applyProtection="1">
      <alignment horizontal="left"/>
    </xf>
    <xf numFmtId="0" fontId="29" fillId="9" borderId="22" xfId="0" applyFont="1" applyFill="1" applyBorder="1" applyAlignment="1">
      <alignment horizontal="left"/>
    </xf>
    <xf numFmtId="167" fontId="36" fillId="12" borderId="8" xfId="1" applyNumberFormat="1" applyFont="1" applyFill="1" applyBorder="1" applyAlignment="1">
      <alignment vertical="top" wrapText="1"/>
    </xf>
    <xf numFmtId="167" fontId="26" fillId="12" borderId="8" xfId="1" applyNumberFormat="1" applyFont="1" applyFill="1" applyBorder="1" applyAlignment="1">
      <alignment horizontal="left" vertical="center"/>
    </xf>
    <xf numFmtId="167" fontId="36" fillId="26" borderId="8" xfId="1" applyNumberFormat="1" applyFont="1" applyFill="1" applyBorder="1" applyAlignment="1">
      <alignment vertical="top" wrapText="1"/>
    </xf>
    <xf numFmtId="0" fontId="30" fillId="26" borderId="37" xfId="0" applyFont="1" applyFill="1" applyBorder="1"/>
    <xf numFmtId="167" fontId="47" fillId="12" borderId="8" xfId="1" applyNumberFormat="1" applyFont="1" applyFill="1" applyBorder="1" applyAlignment="1">
      <alignment horizontal="left" vertical="center"/>
    </xf>
    <xf numFmtId="167" fontId="47" fillId="21" borderId="8" xfId="1" applyNumberFormat="1" applyFont="1" applyFill="1" applyBorder="1" applyAlignment="1">
      <alignment horizontal="left" vertical="center"/>
    </xf>
    <xf numFmtId="167" fontId="47" fillId="20" borderId="8" xfId="1" applyNumberFormat="1" applyFont="1" applyFill="1" applyBorder="1" applyAlignment="1">
      <alignment horizontal="center" vertical="center"/>
    </xf>
    <xf numFmtId="167" fontId="26" fillId="26" borderId="8" xfId="1" applyNumberFormat="1" applyFont="1" applyFill="1" applyBorder="1" applyAlignment="1">
      <alignment horizontal="center" vertical="center"/>
    </xf>
    <xf numFmtId="167" fontId="47" fillId="26" borderId="8" xfId="1" applyNumberFormat="1" applyFont="1" applyFill="1" applyBorder="1" applyAlignment="1">
      <alignment horizontal="center" vertical="center"/>
    </xf>
    <xf numFmtId="0" fontId="0" fillId="8" borderId="0" xfId="0" applyFill="1" applyBorder="1" applyAlignment="1" applyProtection="1">
      <alignment horizontal="left"/>
    </xf>
    <xf numFmtId="0" fontId="0" fillId="8" borderId="0" xfId="0" applyFill="1" applyBorder="1" applyAlignment="1" applyProtection="1">
      <alignment horizontal="center"/>
    </xf>
    <xf numFmtId="0" fontId="52" fillId="20" borderId="0" xfId="0" applyFont="1" applyFill="1" applyAlignment="1">
      <alignment vertical="center" wrapText="1"/>
    </xf>
    <xf numFmtId="0" fontId="53" fillId="20" borderId="0" xfId="0" applyFont="1" applyFill="1"/>
    <xf numFmtId="0" fontId="54" fillId="20" borderId="0" xfId="0" applyFont="1" applyFill="1" applyAlignment="1">
      <alignment horizontal="center" vertical="center" wrapText="1"/>
    </xf>
    <xf numFmtId="0" fontId="0" fillId="20" borderId="76" xfId="0" applyFill="1" applyBorder="1" applyAlignment="1">
      <alignment horizontal="center"/>
    </xf>
    <xf numFmtId="0" fontId="0" fillId="20" borderId="77" xfId="0" applyFill="1" applyBorder="1" applyAlignment="1">
      <alignment horizontal="center"/>
    </xf>
    <xf numFmtId="0" fontId="0" fillId="20" borderId="78" xfId="0" applyFill="1" applyBorder="1" applyAlignment="1">
      <alignment horizontal="center"/>
    </xf>
    <xf numFmtId="0" fontId="55" fillId="19" borderId="38" xfId="0" applyFont="1" applyFill="1" applyBorder="1" applyAlignment="1">
      <alignment horizontal="center" vertical="center" wrapText="1"/>
    </xf>
    <xf numFmtId="0" fontId="54" fillId="20" borderId="8" xfId="0" applyFont="1" applyFill="1" applyBorder="1" applyAlignment="1">
      <alignment horizontal="center" vertical="center" wrapText="1"/>
    </xf>
    <xf numFmtId="0" fontId="0" fillId="20" borderId="0" xfId="0" applyFill="1" applyAlignment="1">
      <alignment horizontal="center"/>
    </xf>
    <xf numFmtId="0" fontId="54" fillId="20" borderId="10" xfId="0" applyFont="1" applyFill="1" applyBorder="1" applyAlignment="1">
      <alignment horizontal="center" vertical="center" wrapText="1"/>
    </xf>
    <xf numFmtId="0" fontId="54" fillId="20" borderId="79" xfId="0" applyFont="1" applyFill="1" applyBorder="1" applyAlignment="1">
      <alignment horizontal="center" vertical="center" wrapText="1"/>
    </xf>
    <xf numFmtId="0" fontId="0" fillId="20" borderId="79" xfId="0" applyFill="1" applyBorder="1" applyAlignment="1">
      <alignment horizontal="center"/>
    </xf>
    <xf numFmtId="0" fontId="12" fillId="17" borderId="38" xfId="0" applyFont="1" applyFill="1" applyBorder="1" applyAlignment="1">
      <alignment vertical="center" wrapText="1"/>
    </xf>
    <xf numFmtId="164" fontId="12" fillId="17" borderId="35" xfId="1" applyFont="1" applyFill="1" applyBorder="1" applyAlignment="1">
      <alignment horizontal="right" vertical="top" wrapText="1"/>
    </xf>
    <xf numFmtId="49" fontId="1" fillId="14" borderId="10" xfId="0" applyNumberFormat="1" applyFont="1" applyFill="1" applyBorder="1" applyAlignment="1">
      <alignment horizontal="right" vertical="center"/>
    </xf>
    <xf numFmtId="164" fontId="11" fillId="11" borderId="14" xfId="1" applyFont="1" applyFill="1" applyBorder="1" applyAlignment="1">
      <alignment horizontal="center" vertical="center"/>
    </xf>
    <xf numFmtId="164" fontId="11" fillId="11" borderId="21" xfId="1" applyFont="1" applyFill="1" applyBorder="1" applyAlignment="1">
      <alignment horizontal="center" vertical="center"/>
    </xf>
    <xf numFmtId="6" fontId="12" fillId="17" borderId="35" xfId="0" applyNumberFormat="1" applyFont="1" applyFill="1" applyBorder="1" applyAlignment="1">
      <alignment horizontal="right" vertical="center" wrapText="1"/>
    </xf>
    <xf numFmtId="0" fontId="0" fillId="20" borderId="8" xfId="0" applyFill="1" applyBorder="1"/>
    <xf numFmtId="0" fontId="0" fillId="20" borderId="16" xfId="0" applyFill="1" applyBorder="1"/>
    <xf numFmtId="0" fontId="55" fillId="19" borderId="61" xfId="0" applyFont="1" applyFill="1" applyBorder="1" applyAlignment="1">
      <alignment horizontal="center" vertical="center" wrapText="1"/>
    </xf>
    <xf numFmtId="0" fontId="0" fillId="20" borderId="12" xfId="1" applyNumberFormat="1" applyFont="1" applyFill="1" applyBorder="1"/>
    <xf numFmtId="0" fontId="0" fillId="20" borderId="13" xfId="1" applyNumberFormat="1" applyFont="1" applyFill="1" applyBorder="1"/>
    <xf numFmtId="0" fontId="3" fillId="0" borderId="0" xfId="0" applyFont="1" applyFill="1"/>
    <xf numFmtId="0" fontId="56" fillId="0" borderId="0" xfId="0" applyFont="1" applyFill="1"/>
    <xf numFmtId="0" fontId="57" fillId="0" borderId="0" xfId="0" applyFont="1" applyFill="1"/>
    <xf numFmtId="0" fontId="58" fillId="0" borderId="0" xfId="0" applyFont="1" applyFill="1"/>
    <xf numFmtId="0" fontId="59" fillId="0" borderId="0" xfId="0" applyFont="1" applyAlignment="1">
      <alignment horizontal="justify" vertical="center"/>
    </xf>
    <xf numFmtId="0" fontId="60" fillId="0" borderId="0" xfId="0" applyFont="1" applyFill="1" applyAlignment="1">
      <alignment horizontal="right"/>
    </xf>
    <xf numFmtId="49" fontId="60" fillId="0" borderId="0" xfId="0" applyNumberFormat="1" applyFont="1" applyFill="1" applyAlignment="1">
      <alignment horizontal="left"/>
    </xf>
    <xf numFmtId="0" fontId="12" fillId="0" borderId="0" xfId="0" applyFont="1" applyFill="1"/>
    <xf numFmtId="0" fontId="61" fillId="0" borderId="0" xfId="0" applyFont="1" applyFill="1"/>
    <xf numFmtId="0" fontId="62" fillId="0" borderId="0" xfId="0" applyFont="1" applyFill="1"/>
    <xf numFmtId="0" fontId="10" fillId="0" borderId="0" xfId="0" applyFont="1" applyFill="1"/>
    <xf numFmtId="0" fontId="64" fillId="0" borderId="0" xfId="0" applyFont="1" applyFill="1"/>
    <xf numFmtId="0" fontId="65" fillId="0" borderId="0" xfId="0" applyFont="1" applyFill="1"/>
    <xf numFmtId="0" fontId="66" fillId="0" borderId="0" xfId="0" applyFont="1" applyFill="1"/>
    <xf numFmtId="14" fontId="63" fillId="0" borderId="8" xfId="0" applyNumberFormat="1" applyFont="1" applyFill="1" applyBorder="1" applyAlignment="1" applyProtection="1">
      <alignment horizontal="center"/>
      <protection locked="0"/>
    </xf>
    <xf numFmtId="166" fontId="63" fillId="0" borderId="8" xfId="1" applyNumberFormat="1" applyFont="1" applyFill="1" applyBorder="1" applyAlignment="1" applyProtection="1">
      <alignment vertical="center"/>
      <protection locked="0"/>
    </xf>
    <xf numFmtId="1" fontId="63" fillId="0" borderId="8" xfId="0" applyNumberFormat="1" applyFont="1" applyFill="1" applyBorder="1" applyAlignment="1" applyProtection="1">
      <alignment horizontal="center"/>
      <protection locked="0"/>
    </xf>
    <xf numFmtId="0" fontId="63" fillId="0" borderId="8" xfId="0" applyFont="1" applyFill="1" applyBorder="1" applyAlignment="1" applyProtection="1">
      <alignment horizontal="center"/>
      <protection locked="0"/>
    </xf>
    <xf numFmtId="1" fontId="63" fillId="0" borderId="8" xfId="1" applyNumberFormat="1" applyFont="1" applyFill="1" applyBorder="1" applyAlignment="1" applyProtection="1">
      <alignment horizontal="center" vertical="center"/>
      <protection locked="0"/>
    </xf>
    <xf numFmtId="1" fontId="63" fillId="0" borderId="8" xfId="1" applyNumberFormat="1" applyFont="1" applyFill="1" applyBorder="1" applyAlignment="1" applyProtection="1">
      <alignment horizontal="center"/>
      <protection locked="0"/>
    </xf>
    <xf numFmtId="0" fontId="65" fillId="0" borderId="0" xfId="0" applyFont="1" applyFill="1" applyAlignment="1">
      <alignment horizontal="center" vertical="top"/>
    </xf>
    <xf numFmtId="0" fontId="3" fillId="0" borderId="0" xfId="0" applyFont="1" applyFill="1" applyBorder="1"/>
    <xf numFmtId="0" fontId="3" fillId="0" borderId="0" xfId="0" applyFont="1" applyFill="1" applyProtection="1"/>
    <xf numFmtId="176" fontId="63" fillId="0" borderId="8" xfId="8" applyNumberFormat="1" applyFont="1" applyFill="1" applyBorder="1" applyAlignment="1" applyProtection="1">
      <alignment horizontal="center" vertical="center"/>
      <protection locked="0"/>
    </xf>
    <xf numFmtId="0" fontId="64" fillId="0" borderId="0" xfId="0" applyFont="1" applyFill="1" applyBorder="1"/>
    <xf numFmtId="0" fontId="66" fillId="0" borderId="0" xfId="0" applyFont="1" applyFill="1" applyBorder="1"/>
    <xf numFmtId="0" fontId="58" fillId="0" borderId="0" xfId="0" applyFont="1" applyFill="1" applyBorder="1"/>
    <xf numFmtId="0" fontId="3" fillId="0" borderId="0" xfId="0" applyFont="1" applyFill="1" applyBorder="1" applyAlignment="1"/>
    <xf numFmtId="0" fontId="58" fillId="0" borderId="0" xfId="0" applyFont="1" applyFill="1" applyBorder="1" applyAlignment="1"/>
    <xf numFmtId="0" fontId="4" fillId="0" borderId="0" xfId="0" applyFont="1" applyFill="1" applyBorder="1" applyAlignment="1">
      <alignment vertical="top"/>
    </xf>
    <xf numFmtId="0" fontId="69" fillId="0" borderId="0" xfId="0" applyFont="1" applyFill="1" applyBorder="1" applyAlignment="1">
      <alignment vertical="top"/>
    </xf>
    <xf numFmtId="0" fontId="3" fillId="0" borderId="0" xfId="0" applyFont="1" applyFill="1" applyBorder="1" applyAlignment="1">
      <alignment vertical="top"/>
    </xf>
    <xf numFmtId="0" fontId="58" fillId="0" borderId="0" xfId="0" applyFont="1" applyFill="1" applyBorder="1" applyAlignment="1">
      <alignment vertical="top"/>
    </xf>
    <xf numFmtId="0" fontId="12" fillId="17" borderId="39" xfId="0" applyFont="1" applyFill="1" applyBorder="1" applyAlignment="1">
      <alignment vertical="center" wrapText="1"/>
    </xf>
    <xf numFmtId="6" fontId="12" fillId="17" borderId="39" xfId="0" applyNumberFormat="1" applyFont="1" applyFill="1" applyBorder="1" applyAlignment="1">
      <alignment horizontal="right" vertical="center" wrapText="1"/>
    </xf>
    <xf numFmtId="0" fontId="12" fillId="17" borderId="40" xfId="0" applyFont="1" applyFill="1" applyBorder="1" applyAlignment="1">
      <alignment horizontal="right" vertical="center" wrapText="1"/>
    </xf>
    <xf numFmtId="0" fontId="12" fillId="17" borderId="36" xfId="0" applyFont="1" applyFill="1" applyBorder="1" applyAlignment="1">
      <alignment horizontal="right" vertical="center" wrapText="1"/>
    </xf>
    <xf numFmtId="0" fontId="4" fillId="17" borderId="0" xfId="0" applyFont="1" applyFill="1" applyBorder="1" applyAlignment="1">
      <alignment vertical="center" wrapText="1"/>
    </xf>
    <xf numFmtId="165" fontId="12" fillId="17" borderId="3" xfId="0" applyNumberFormat="1" applyFont="1" applyFill="1" applyBorder="1" applyAlignment="1">
      <alignment horizontal="right" vertical="center" wrapText="1"/>
    </xf>
    <xf numFmtId="165" fontId="12" fillId="17" borderId="0" xfId="0" applyNumberFormat="1" applyFont="1" applyFill="1" applyBorder="1" applyAlignment="1">
      <alignment horizontal="left" vertical="center" wrapText="1"/>
    </xf>
    <xf numFmtId="165" fontId="12" fillId="17" borderId="4" xfId="0" applyNumberFormat="1" applyFont="1" applyFill="1" applyBorder="1" applyAlignment="1">
      <alignment vertical="center" wrapText="1"/>
    </xf>
    <xf numFmtId="165" fontId="12" fillId="17" borderId="21" xfId="8" applyNumberFormat="1" applyFont="1" applyFill="1" applyBorder="1" applyAlignment="1">
      <alignment horizontal="right" vertical="center" wrapText="1" indent="1"/>
    </xf>
    <xf numFmtId="165" fontId="12" fillId="17" borderId="5" xfId="0" applyNumberFormat="1" applyFont="1" applyFill="1" applyBorder="1" applyAlignment="1">
      <alignment horizontal="right" vertical="center" wrapText="1"/>
    </xf>
    <xf numFmtId="165" fontId="12" fillId="17" borderId="7" xfId="0" applyNumberFormat="1" applyFont="1" applyFill="1" applyBorder="1" applyAlignment="1">
      <alignment vertical="center" wrapText="1"/>
    </xf>
    <xf numFmtId="6" fontId="12" fillId="17" borderId="64" xfId="0" applyNumberFormat="1" applyFont="1" applyFill="1" applyBorder="1" applyAlignment="1">
      <alignment horizontal="right" vertical="center" wrapText="1"/>
    </xf>
    <xf numFmtId="6" fontId="12" fillId="17" borderId="0" xfId="0" applyNumberFormat="1" applyFont="1" applyFill="1" applyBorder="1" applyAlignment="1">
      <alignment horizontal="left" vertical="center" wrapText="1"/>
    </xf>
    <xf numFmtId="6" fontId="12" fillId="17" borderId="65" xfId="0" applyNumberFormat="1" applyFont="1" applyFill="1" applyBorder="1" applyAlignment="1">
      <alignment vertical="center" wrapText="1"/>
    </xf>
    <xf numFmtId="0" fontId="12" fillId="17" borderId="35" xfId="0" applyFont="1" applyFill="1" applyBorder="1"/>
    <xf numFmtId="0" fontId="12" fillId="17" borderId="36" xfId="0" applyFont="1" applyFill="1" applyBorder="1"/>
    <xf numFmtId="49" fontId="61" fillId="0" borderId="0" xfId="0" applyNumberFormat="1" applyFont="1" applyFill="1"/>
    <xf numFmtId="0" fontId="1" fillId="0" borderId="0" xfId="0" applyFont="1" applyFill="1" applyBorder="1"/>
    <xf numFmtId="0" fontId="3" fillId="8" borderId="44" xfId="0" applyFont="1" applyFill="1" applyBorder="1"/>
    <xf numFmtId="0" fontId="12" fillId="8" borderId="44" xfId="0" applyFont="1" applyFill="1" applyBorder="1"/>
    <xf numFmtId="44" fontId="63" fillId="8" borderId="8" xfId="8" applyFont="1" applyFill="1" applyBorder="1" applyAlignment="1" applyProtection="1">
      <alignment horizontal="center" vertical="center"/>
      <protection locked="0"/>
    </xf>
    <xf numFmtId="164" fontId="63" fillId="0" borderId="8" xfId="1" applyFont="1" applyFill="1" applyBorder="1" applyAlignment="1" applyProtection="1">
      <alignment horizontal="center" vertical="center"/>
      <protection locked="0"/>
    </xf>
    <xf numFmtId="0" fontId="35" fillId="20" borderId="0" xfId="0" applyFont="1" applyFill="1" applyAlignment="1">
      <alignment horizontal="right" vertical="center" wrapText="1"/>
    </xf>
    <xf numFmtId="0" fontId="0" fillId="20" borderId="29" xfId="1" applyNumberFormat="1" applyFont="1" applyFill="1" applyBorder="1"/>
    <xf numFmtId="0" fontId="0" fillId="20" borderId="37" xfId="0" applyFill="1" applyBorder="1"/>
    <xf numFmtId="0" fontId="30" fillId="29" borderId="27" xfId="0" applyFont="1" applyFill="1" applyBorder="1"/>
    <xf numFmtId="0" fontId="30" fillId="29" borderId="31" xfId="0" applyFont="1" applyFill="1" applyBorder="1"/>
    <xf numFmtId="0" fontId="29" fillId="0" borderId="0" xfId="0" applyFont="1" applyFill="1" applyBorder="1"/>
    <xf numFmtId="0" fontId="20" fillId="0" borderId="0" xfId="0" applyFont="1" applyFill="1"/>
    <xf numFmtId="6" fontId="20" fillId="0" borderId="0" xfId="0" applyNumberFormat="1" applyFont="1" applyFill="1"/>
    <xf numFmtId="49" fontId="20" fillId="0" borderId="0" xfId="0" applyNumberFormat="1" applyFont="1" applyFill="1"/>
    <xf numFmtId="6" fontId="12" fillId="19" borderId="0" xfId="0" applyNumberFormat="1" applyFont="1" applyFill="1" applyBorder="1" applyAlignment="1">
      <alignment horizontal="right" vertical="center" wrapText="1"/>
    </xf>
    <xf numFmtId="0" fontId="12" fillId="19" borderId="21" xfId="0" applyFont="1" applyFill="1" applyBorder="1" applyAlignment="1">
      <alignment horizontal="right" vertical="center" wrapText="1"/>
    </xf>
    <xf numFmtId="0" fontId="12" fillId="19" borderId="0" xfId="0" applyFont="1" applyFill="1" applyBorder="1" applyAlignment="1">
      <alignment vertical="center" wrapText="1"/>
    </xf>
    <xf numFmtId="0" fontId="12" fillId="19" borderId="14" xfId="0" applyFont="1" applyFill="1" applyBorder="1" applyAlignment="1">
      <alignment horizontal="left" vertical="center"/>
    </xf>
    <xf numFmtId="0" fontId="12" fillId="19" borderId="0" xfId="0" applyFont="1" applyFill="1" applyBorder="1" applyAlignment="1">
      <alignment horizontal="left" vertical="center"/>
    </xf>
    <xf numFmtId="44" fontId="12" fillId="19" borderId="0" xfId="8" applyFont="1" applyFill="1" applyBorder="1" applyAlignment="1">
      <alignment horizontal="right"/>
    </xf>
    <xf numFmtId="44" fontId="32" fillId="19" borderId="21" xfId="8" applyFont="1" applyFill="1" applyBorder="1" applyAlignment="1">
      <alignment horizontal="right"/>
    </xf>
    <xf numFmtId="9" fontId="12" fillId="19" borderId="0" xfId="0" applyNumberFormat="1" applyFont="1" applyFill="1" applyBorder="1" applyAlignment="1">
      <alignment horizontal="right" vertical="center" wrapText="1"/>
    </xf>
    <xf numFmtId="0" fontId="12" fillId="19" borderId="34" xfId="0" applyFont="1" applyFill="1" applyBorder="1" applyAlignment="1">
      <alignment horizontal="right" vertical="center" wrapText="1"/>
    </xf>
    <xf numFmtId="0" fontId="12" fillId="19" borderId="35" xfId="0" applyFont="1" applyFill="1" applyBorder="1" applyAlignment="1">
      <alignment horizontal="right" vertical="center" wrapText="1"/>
    </xf>
    <xf numFmtId="0" fontId="12" fillId="19" borderId="35" xfId="0" applyFont="1" applyFill="1" applyBorder="1" applyAlignment="1">
      <alignment vertical="center" wrapText="1"/>
    </xf>
    <xf numFmtId="6" fontId="12" fillId="19" borderId="35" xfId="0" applyNumberFormat="1" applyFont="1" applyFill="1" applyBorder="1" applyAlignment="1">
      <alignment horizontal="right" vertical="center" wrapText="1"/>
    </xf>
    <xf numFmtId="0" fontId="12" fillId="19" borderId="35" xfId="0" applyFont="1" applyFill="1" applyBorder="1" applyAlignment="1">
      <alignment horizontal="center"/>
    </xf>
    <xf numFmtId="0" fontId="12" fillId="19" borderId="36" xfId="0" applyFont="1" applyFill="1" applyBorder="1" applyAlignment="1">
      <alignment horizontal="center"/>
    </xf>
    <xf numFmtId="6" fontId="4" fillId="20" borderId="0" xfId="0" applyNumberFormat="1" applyFont="1" applyFill="1" applyBorder="1" applyAlignment="1">
      <alignment horizontal="right" vertical="center" wrapText="1"/>
    </xf>
    <xf numFmtId="166" fontId="4" fillId="20" borderId="0" xfId="1" applyNumberFormat="1" applyFont="1" applyFill="1" applyBorder="1" applyAlignment="1">
      <alignment horizontal="right" vertical="center" wrapText="1"/>
    </xf>
    <xf numFmtId="9" fontId="4" fillId="20" borderId="0" xfId="3" applyFont="1" applyFill="1" applyBorder="1" applyAlignment="1">
      <alignment horizontal="right" vertical="center" wrapText="1"/>
    </xf>
    <xf numFmtId="164" fontId="4" fillId="20" borderId="0" xfId="1" applyFont="1" applyFill="1" applyBorder="1" applyAlignment="1">
      <alignment horizontal="right" vertical="center" wrapText="1"/>
    </xf>
    <xf numFmtId="165" fontId="4" fillId="20" borderId="0" xfId="0" applyNumberFormat="1" applyFont="1" applyFill="1" applyBorder="1" applyAlignment="1">
      <alignment horizontal="right" vertical="center" wrapText="1"/>
    </xf>
    <xf numFmtId="6" fontId="4" fillId="20" borderId="35" xfId="0" applyNumberFormat="1" applyFont="1" applyFill="1" applyBorder="1" applyAlignment="1">
      <alignment horizontal="right" vertical="center" wrapText="1"/>
    </xf>
    <xf numFmtId="0" fontId="4" fillId="17" borderId="0" xfId="0" applyFont="1" applyFill="1" applyBorder="1" applyAlignment="1">
      <alignment horizontal="center" wrapText="1"/>
    </xf>
    <xf numFmtId="0" fontId="4" fillId="17" borderId="0" xfId="0" applyFont="1" applyFill="1" applyBorder="1" applyAlignment="1"/>
    <xf numFmtId="6" fontId="4" fillId="17" borderId="0" xfId="0" applyNumberFormat="1" applyFont="1" applyFill="1" applyBorder="1" applyAlignment="1">
      <alignment horizontal="right" wrapText="1"/>
    </xf>
    <xf numFmtId="0" fontId="4" fillId="17" borderId="21" xfId="0" applyFont="1" applyFill="1" applyBorder="1" applyAlignment="1">
      <alignment wrapText="1"/>
    </xf>
    <xf numFmtId="166" fontId="4" fillId="17" borderId="14" xfId="1" applyNumberFormat="1" applyFont="1" applyFill="1" applyBorder="1" applyAlignment="1">
      <alignment horizontal="right" vertical="top" wrapText="1"/>
    </xf>
    <xf numFmtId="166" fontId="4" fillId="17" borderId="0" xfId="1" applyNumberFormat="1" applyFont="1" applyFill="1" applyBorder="1" applyAlignment="1">
      <alignment horizontal="right" vertical="top" wrapText="1"/>
    </xf>
    <xf numFmtId="165" fontId="4" fillId="17" borderId="0" xfId="8" applyNumberFormat="1" applyFont="1" applyFill="1" applyBorder="1" applyAlignment="1">
      <alignment horizontal="right" vertical="top" wrapText="1"/>
    </xf>
    <xf numFmtId="164" fontId="4" fillId="17" borderId="0" xfId="1" applyNumberFormat="1" applyFont="1" applyFill="1" applyBorder="1" applyAlignment="1">
      <alignment horizontal="center" vertical="top" wrapText="1"/>
    </xf>
    <xf numFmtId="1" fontId="4" fillId="17" borderId="0" xfId="1" applyNumberFormat="1" applyFont="1" applyFill="1" applyBorder="1" applyAlignment="1">
      <alignment horizontal="left" vertical="top" wrapText="1"/>
    </xf>
    <xf numFmtId="44" fontId="4" fillId="17" borderId="0" xfId="8" applyFont="1" applyFill="1" applyBorder="1" applyAlignment="1">
      <alignment horizontal="center" vertical="top" wrapText="1"/>
    </xf>
    <xf numFmtId="0" fontId="4" fillId="17" borderId="0" xfId="0" applyFont="1" applyFill="1" applyBorder="1" applyAlignment="1">
      <alignment horizontal="center" vertical="top" wrapText="1"/>
    </xf>
    <xf numFmtId="165" fontId="4" fillId="17" borderId="14" xfId="8" applyNumberFormat="1" applyFont="1" applyFill="1" applyBorder="1" applyAlignment="1">
      <alignment horizontal="right" vertical="top" wrapText="1"/>
    </xf>
    <xf numFmtId="165" fontId="4" fillId="17" borderId="0" xfId="8" applyNumberFormat="1" applyFont="1" applyFill="1" applyBorder="1" applyAlignment="1">
      <alignment horizontal="right"/>
    </xf>
    <xf numFmtId="165" fontId="4" fillId="17" borderId="21" xfId="8" applyNumberFormat="1" applyFont="1" applyFill="1" applyBorder="1" applyAlignment="1">
      <alignment horizontal="right"/>
    </xf>
    <xf numFmtId="0" fontId="4" fillId="17" borderId="60" xfId="0" applyFont="1" applyFill="1" applyBorder="1" applyAlignment="1">
      <alignment vertical="center" wrapText="1"/>
    </xf>
    <xf numFmtId="0" fontId="4" fillId="17" borderId="6" xfId="0" applyFont="1" applyFill="1" applyBorder="1" applyAlignment="1">
      <alignment vertical="center" wrapText="1"/>
    </xf>
    <xf numFmtId="6" fontId="4" fillId="17" borderId="6" xfId="0" applyNumberFormat="1" applyFont="1" applyFill="1" applyBorder="1" applyAlignment="1">
      <alignment horizontal="right" vertical="center" wrapText="1"/>
    </xf>
    <xf numFmtId="0" fontId="4" fillId="17" borderId="51" xfId="0" applyFont="1" applyFill="1" applyBorder="1" applyAlignment="1">
      <alignment horizontal="right" vertical="center" wrapText="1"/>
    </xf>
    <xf numFmtId="0" fontId="4" fillId="17" borderId="62" xfId="0" applyFont="1" applyFill="1" applyBorder="1" applyAlignment="1">
      <alignment vertical="center" wrapText="1"/>
    </xf>
    <xf numFmtId="0" fontId="4" fillId="17" borderId="43" xfId="0" applyFont="1" applyFill="1" applyBorder="1" applyAlignment="1">
      <alignment vertical="center" wrapText="1"/>
    </xf>
    <xf numFmtId="6" fontId="4" fillId="17" borderId="43" xfId="0" applyNumberFormat="1" applyFont="1" applyFill="1" applyBorder="1" applyAlignment="1">
      <alignment horizontal="right" vertical="center" wrapText="1"/>
    </xf>
    <xf numFmtId="6" fontId="4" fillId="17" borderId="63" xfId="0" applyNumberFormat="1" applyFont="1" applyFill="1" applyBorder="1" applyAlignment="1">
      <alignment horizontal="right" vertical="center" wrapText="1"/>
    </xf>
    <xf numFmtId="0" fontId="4" fillId="17" borderId="34" xfId="0" applyFont="1" applyFill="1" applyBorder="1" applyAlignment="1">
      <alignment vertical="center" wrapText="1"/>
    </xf>
    <xf numFmtId="0" fontId="4" fillId="17" borderId="35" xfId="0" applyFont="1" applyFill="1" applyBorder="1" applyAlignment="1">
      <alignment vertical="center" wrapText="1"/>
    </xf>
    <xf numFmtId="6" fontId="4" fillId="17" borderId="35" xfId="0" applyNumberFormat="1" applyFont="1" applyFill="1" applyBorder="1" applyAlignment="1">
      <alignment horizontal="right" vertical="center" wrapText="1"/>
    </xf>
    <xf numFmtId="6" fontId="4" fillId="17" borderId="36" xfId="0" applyNumberFormat="1" applyFont="1" applyFill="1" applyBorder="1" applyAlignment="1">
      <alignment horizontal="right" vertical="center" wrapText="1"/>
    </xf>
    <xf numFmtId="6" fontId="4" fillId="20" borderId="39" xfId="0" applyNumberFormat="1" applyFont="1" applyFill="1" applyBorder="1" applyAlignment="1">
      <alignment horizontal="right" vertical="center" wrapText="1"/>
    </xf>
    <xf numFmtId="0" fontId="4" fillId="20" borderId="40" xfId="0" applyFont="1" applyFill="1" applyBorder="1" applyAlignment="1">
      <alignment horizontal="right" vertical="center" wrapText="1"/>
    </xf>
    <xf numFmtId="0" fontId="4" fillId="20" borderId="14" xfId="0" applyFont="1" applyFill="1" applyBorder="1" applyAlignment="1">
      <alignment vertical="center" wrapText="1"/>
    </xf>
    <xf numFmtId="0" fontId="4" fillId="20" borderId="0" xfId="0" applyFont="1" applyFill="1" applyBorder="1" applyAlignment="1">
      <alignment vertical="center" wrapText="1"/>
    </xf>
    <xf numFmtId="0" fontId="4" fillId="20" borderId="21" xfId="0" applyFont="1" applyFill="1" applyBorder="1" applyAlignment="1">
      <alignment horizontal="right" vertical="center" wrapText="1"/>
    </xf>
    <xf numFmtId="0" fontId="5" fillId="20" borderId="14" xfId="0" applyFont="1" applyFill="1" applyBorder="1" applyAlignment="1">
      <alignment vertical="center" wrapText="1"/>
    </xf>
    <xf numFmtId="0" fontId="5" fillId="20" borderId="0" xfId="0" applyFont="1" applyFill="1" applyBorder="1" applyAlignment="1">
      <alignment vertical="center" wrapText="1"/>
    </xf>
    <xf numFmtId="164" fontId="4" fillId="20" borderId="21" xfId="1" applyFont="1" applyFill="1" applyBorder="1" applyAlignment="1">
      <alignment horizontal="right" vertical="center" wrapText="1"/>
    </xf>
    <xf numFmtId="0" fontId="4" fillId="20" borderId="34" xfId="0" applyFont="1" applyFill="1" applyBorder="1" applyAlignment="1">
      <alignment vertical="center" wrapText="1"/>
    </xf>
    <xf numFmtId="0" fontId="4" fillId="20" borderId="35" xfId="0" applyFont="1" applyFill="1" applyBorder="1" applyAlignment="1">
      <alignment vertical="center" wrapText="1"/>
    </xf>
    <xf numFmtId="0" fontId="4" fillId="20" borderId="36" xfId="0" applyFont="1" applyFill="1" applyBorder="1" applyAlignment="1">
      <alignment horizontal="right" vertical="center" wrapText="1"/>
    </xf>
    <xf numFmtId="6" fontId="4" fillId="22" borderId="39" xfId="0" applyNumberFormat="1" applyFont="1" applyFill="1" applyBorder="1" applyAlignment="1">
      <alignment horizontal="right" vertical="center" wrapText="1"/>
    </xf>
    <xf numFmtId="0" fontId="4" fillId="22" borderId="40" xfId="0" applyFont="1" applyFill="1" applyBorder="1" applyAlignment="1">
      <alignment horizontal="right" vertical="center" wrapText="1"/>
    </xf>
    <xf numFmtId="0" fontId="4" fillId="22" borderId="14" xfId="0" applyFont="1" applyFill="1" applyBorder="1" applyAlignment="1">
      <alignment vertical="center" wrapText="1"/>
    </xf>
    <xf numFmtId="0" fontId="4" fillId="22" borderId="0" xfId="0" applyFont="1" applyFill="1" applyBorder="1" applyAlignment="1">
      <alignment vertical="center" wrapText="1"/>
    </xf>
    <xf numFmtId="6" fontId="4" fillId="22" borderId="0" xfId="0" applyNumberFormat="1" applyFont="1" applyFill="1" applyBorder="1" applyAlignment="1">
      <alignment horizontal="right" vertical="center" wrapText="1"/>
    </xf>
    <xf numFmtId="0" fontId="4" fillId="22" borderId="21" xfId="0" applyFont="1" applyFill="1" applyBorder="1" applyAlignment="1">
      <alignment horizontal="right" vertical="center" wrapText="1"/>
    </xf>
    <xf numFmtId="165" fontId="4" fillId="22" borderId="0" xfId="0" applyNumberFormat="1" applyFont="1" applyFill="1" applyBorder="1" applyAlignment="1">
      <alignment horizontal="right" vertical="center" wrapText="1"/>
    </xf>
    <xf numFmtId="0" fontId="5" fillId="22" borderId="14" xfId="0" applyFont="1" applyFill="1" applyBorder="1" applyAlignment="1">
      <alignment vertical="center" wrapText="1"/>
    </xf>
    <xf numFmtId="0" fontId="5" fillId="22" borderId="0" xfId="0" applyFont="1" applyFill="1" applyBorder="1" applyAlignment="1">
      <alignment vertical="center" wrapText="1"/>
    </xf>
    <xf numFmtId="166" fontId="4" fillId="22" borderId="0" xfId="1" applyNumberFormat="1" applyFont="1" applyFill="1" applyBorder="1" applyAlignment="1">
      <alignment horizontal="right" vertical="center" wrapText="1"/>
    </xf>
    <xf numFmtId="165" fontId="4" fillId="22" borderId="0" xfId="8" applyNumberFormat="1" applyFont="1" applyFill="1" applyBorder="1" applyAlignment="1">
      <alignment horizontal="right" vertical="center" wrapText="1"/>
    </xf>
    <xf numFmtId="0" fontId="4" fillId="22" borderId="34" xfId="0" applyFont="1" applyFill="1" applyBorder="1" applyAlignment="1">
      <alignment vertical="center" wrapText="1"/>
    </xf>
    <xf numFmtId="0" fontId="4" fillId="22" borderId="35" xfId="0" applyFont="1" applyFill="1" applyBorder="1" applyAlignment="1">
      <alignment vertical="center" wrapText="1"/>
    </xf>
    <xf numFmtId="165" fontId="4" fillId="22" borderId="35" xfId="0" applyNumberFormat="1" applyFont="1" applyFill="1" applyBorder="1" applyAlignment="1">
      <alignment horizontal="right" vertical="center" wrapText="1"/>
    </xf>
    <xf numFmtId="0" fontId="4" fillId="22" borderId="36" xfId="0" applyFont="1" applyFill="1" applyBorder="1" applyAlignment="1">
      <alignment horizontal="right" vertical="center" wrapText="1"/>
    </xf>
    <xf numFmtId="165" fontId="4" fillId="17" borderId="3" xfId="0" applyNumberFormat="1" applyFont="1" applyFill="1" applyBorder="1" applyAlignment="1">
      <alignment horizontal="right" vertical="center" wrapText="1"/>
    </xf>
    <xf numFmtId="165" fontId="4" fillId="17" borderId="4" xfId="0" applyNumberFormat="1" applyFont="1" applyFill="1" applyBorder="1" applyAlignment="1">
      <alignment horizontal="left" vertical="center" wrapText="1"/>
    </xf>
    <xf numFmtId="165" fontId="4" fillId="17" borderId="5" xfId="0" applyNumberFormat="1" applyFont="1" applyFill="1" applyBorder="1" applyAlignment="1">
      <alignment horizontal="right" vertical="center" wrapText="1"/>
    </xf>
    <xf numFmtId="165" fontId="4" fillId="17" borderId="7" xfId="0" applyNumberFormat="1" applyFont="1" applyFill="1" applyBorder="1" applyAlignment="1">
      <alignment horizontal="left" vertical="center" wrapText="1"/>
    </xf>
    <xf numFmtId="6" fontId="4" fillId="17" borderId="64" xfId="0" applyNumberFormat="1" applyFont="1" applyFill="1" applyBorder="1" applyAlignment="1">
      <alignment horizontal="right" vertical="center" wrapText="1"/>
    </xf>
    <xf numFmtId="6" fontId="4" fillId="17" borderId="65" xfId="0" applyNumberFormat="1" applyFont="1" applyFill="1" applyBorder="1" applyAlignment="1">
      <alignment horizontal="left" vertical="center" wrapText="1"/>
    </xf>
    <xf numFmtId="0" fontId="3" fillId="30" borderId="3" xfId="0" applyFont="1" applyFill="1" applyBorder="1"/>
    <xf numFmtId="0" fontId="12" fillId="30" borderId="0" xfId="0" applyFont="1" applyFill="1" applyBorder="1"/>
    <xf numFmtId="0" fontId="3" fillId="30" borderId="0" xfId="0" applyFont="1" applyFill="1" applyBorder="1"/>
    <xf numFmtId="0" fontId="3" fillId="30" borderId="4" xfId="0" applyFont="1" applyFill="1" applyBorder="1"/>
    <xf numFmtId="0" fontId="2" fillId="30" borderId="0" xfId="0" applyFont="1" applyFill="1" applyBorder="1" applyAlignment="1">
      <alignment vertical="center"/>
    </xf>
    <xf numFmtId="0" fontId="2" fillId="30" borderId="0" xfId="0" applyFont="1" applyFill="1" applyBorder="1" applyAlignment="1">
      <alignment horizontal="left" vertical="center"/>
    </xf>
    <xf numFmtId="0" fontId="2" fillId="30" borderId="0" xfId="0" applyFont="1" applyFill="1" applyBorder="1" applyAlignment="1">
      <alignment horizontal="left"/>
    </xf>
    <xf numFmtId="0" fontId="2" fillId="30" borderId="0" xfId="0" applyFont="1" applyFill="1" applyBorder="1" applyAlignment="1">
      <alignment wrapText="1"/>
    </xf>
    <xf numFmtId="0" fontId="31" fillId="30" borderId="0" xfId="0" applyFont="1" applyFill="1" applyBorder="1" applyAlignment="1">
      <alignment horizontal="right"/>
    </xf>
    <xf numFmtId="0" fontId="31" fillId="30" borderId="4" xfId="0" applyFont="1" applyFill="1" applyBorder="1" applyAlignment="1">
      <alignment horizontal="right"/>
    </xf>
    <xf numFmtId="0" fontId="2" fillId="30" borderId="0" xfId="0" applyFont="1" applyFill="1" applyBorder="1" applyAlignment="1"/>
    <xf numFmtId="0" fontId="12" fillId="30" borderId="0" xfId="0" applyFont="1" applyFill="1" applyBorder="1" applyAlignment="1">
      <alignment vertical="center"/>
    </xf>
    <xf numFmtId="0" fontId="3" fillId="30" borderId="0" xfId="0" applyFont="1" applyFill="1" applyBorder="1" applyAlignment="1">
      <alignment vertical="center"/>
    </xf>
    <xf numFmtId="0" fontId="12" fillId="30" borderId="0" xfId="0" applyFont="1" applyFill="1" applyBorder="1" applyAlignment="1">
      <alignment vertical="top" wrapText="1"/>
    </xf>
    <xf numFmtId="0" fontId="2" fillId="30" borderId="0" xfId="0" applyFont="1" applyFill="1" applyBorder="1" applyAlignment="1">
      <alignment vertical="top" wrapText="1"/>
    </xf>
    <xf numFmtId="0" fontId="3" fillId="30" borderId="0" xfId="0" applyFont="1" applyFill="1" applyBorder="1" applyAlignment="1"/>
    <xf numFmtId="0" fontId="31" fillId="30" borderId="0" xfId="0" applyFont="1" applyFill="1" applyBorder="1" applyAlignment="1">
      <alignment vertical="top" wrapText="1"/>
    </xf>
    <xf numFmtId="0" fontId="2" fillId="30" borderId="0" xfId="0" applyFont="1" applyFill="1" applyBorder="1" applyAlignment="1">
      <alignment horizontal="right" vertical="center"/>
    </xf>
    <xf numFmtId="0" fontId="46" fillId="30" borderId="0" xfId="0" applyFont="1" applyFill="1" applyBorder="1" applyAlignment="1">
      <alignment vertical="top" wrapText="1"/>
    </xf>
    <xf numFmtId="0" fontId="67" fillId="30" borderId="3" xfId="0" applyFont="1" applyFill="1" applyBorder="1" applyAlignment="1">
      <alignment horizontal="left" vertical="center" wrapText="1"/>
    </xf>
    <xf numFmtId="0" fontId="2" fillId="30" borderId="0" xfId="0" applyFont="1" applyFill="1" applyBorder="1"/>
    <xf numFmtId="0" fontId="68" fillId="30" borderId="0" xfId="0" applyFont="1" applyFill="1" applyBorder="1"/>
    <xf numFmtId="0" fontId="2" fillId="30" borderId="75" xfId="0" applyFont="1" applyFill="1" applyBorder="1"/>
    <xf numFmtId="0" fontId="3" fillId="30" borderId="75" xfId="0" applyFont="1" applyFill="1" applyBorder="1"/>
    <xf numFmtId="0" fontId="3" fillId="30" borderId="3" xfId="0" applyFont="1" applyFill="1" applyBorder="1" applyProtection="1"/>
    <xf numFmtId="0" fontId="2" fillId="30" borderId="0" xfId="0" applyFont="1" applyFill="1" applyBorder="1" applyProtection="1"/>
    <xf numFmtId="0" fontId="3" fillId="30" borderId="0" xfId="0" applyFont="1" applyFill="1" applyBorder="1" applyProtection="1"/>
    <xf numFmtId="0" fontId="50" fillId="30" borderId="0" xfId="0" applyFont="1" applyFill="1" applyBorder="1" applyProtection="1"/>
    <xf numFmtId="0" fontId="2" fillId="30" borderId="0" xfId="0" applyFont="1" applyFill="1" applyBorder="1" applyAlignment="1" applyProtection="1">
      <alignment vertical="center"/>
    </xf>
    <xf numFmtId="0" fontId="2" fillId="30" borderId="3" xfId="0" applyFont="1" applyFill="1" applyBorder="1" applyProtection="1"/>
    <xf numFmtId="0" fontId="2" fillId="30" borderId="0" xfId="0" applyFont="1" applyFill="1" applyBorder="1" applyAlignment="1" applyProtection="1">
      <alignment horizontal="right"/>
    </xf>
    <xf numFmtId="0" fontId="2" fillId="30" borderId="75" xfId="0" applyFont="1" applyFill="1" applyBorder="1" applyProtection="1"/>
    <xf numFmtId="0" fontId="3" fillId="30" borderId="75" xfId="0" applyFont="1" applyFill="1" applyBorder="1" applyProtection="1"/>
    <xf numFmtId="0" fontId="3" fillId="30" borderId="5" xfId="0" applyFont="1" applyFill="1" applyBorder="1" applyProtection="1"/>
    <xf numFmtId="0" fontId="2" fillId="30" borderId="6" xfId="0" applyFont="1" applyFill="1" applyBorder="1" applyProtection="1"/>
    <xf numFmtId="0" fontId="3" fillId="30" borderId="6" xfId="0" applyFont="1" applyFill="1" applyBorder="1" applyProtection="1"/>
    <xf numFmtId="0" fontId="46" fillId="30" borderId="0" xfId="0" applyFont="1" applyFill="1" applyBorder="1" applyAlignment="1">
      <alignment horizontal="center"/>
    </xf>
    <xf numFmtId="0" fontId="40" fillId="30" borderId="0" xfId="0" applyFont="1" applyFill="1" applyBorder="1" applyAlignment="1">
      <alignment horizontal="right"/>
    </xf>
    <xf numFmtId="0" fontId="46" fillId="30" borderId="75" xfId="0" applyFont="1" applyFill="1" applyBorder="1" applyAlignment="1">
      <alignment horizontal="right"/>
    </xf>
    <xf numFmtId="0" fontId="40" fillId="30" borderId="75" xfId="0" applyFont="1" applyFill="1" applyBorder="1"/>
    <xf numFmtId="0" fontId="46" fillId="30" borderId="0" xfId="0" applyFont="1" applyFill="1" applyBorder="1" applyAlignment="1" applyProtection="1">
      <alignment horizontal="right"/>
    </xf>
    <xf numFmtId="0" fontId="40" fillId="30" borderId="0" xfId="0" applyFont="1" applyFill="1" applyBorder="1" applyProtection="1"/>
    <xf numFmtId="0" fontId="31" fillId="30" borderId="0" xfId="0" applyFont="1" applyFill="1" applyBorder="1" applyAlignment="1" applyProtection="1">
      <alignment horizontal="right"/>
    </xf>
    <xf numFmtId="0" fontId="31" fillId="30" borderId="4" xfId="0" applyFont="1" applyFill="1" applyBorder="1" applyAlignment="1" applyProtection="1">
      <alignment horizontal="right"/>
    </xf>
    <xf numFmtId="0" fontId="3" fillId="30" borderId="4" xfId="0" applyFont="1" applyFill="1" applyBorder="1" applyProtection="1"/>
    <xf numFmtId="0" fontId="46" fillId="30" borderId="75" xfId="0" applyFont="1" applyFill="1" applyBorder="1" applyAlignment="1" applyProtection="1">
      <alignment horizontal="right"/>
    </xf>
    <xf numFmtId="0" fontId="40" fillId="30" borderId="75" xfId="0" applyFont="1" applyFill="1" applyBorder="1" applyProtection="1"/>
    <xf numFmtId="0" fontId="46" fillId="30" borderId="6" xfId="0" applyFont="1" applyFill="1" applyBorder="1" applyAlignment="1" applyProtection="1">
      <alignment horizontal="right"/>
    </xf>
    <xf numFmtId="0" fontId="40" fillId="30" borderId="6" xfId="0" applyFont="1" applyFill="1" applyBorder="1" applyProtection="1"/>
    <xf numFmtId="0" fontId="31" fillId="30" borderId="6" xfId="0" applyFont="1" applyFill="1" applyBorder="1" applyAlignment="1" applyProtection="1">
      <alignment horizontal="right"/>
    </xf>
    <xf numFmtId="0" fontId="31" fillId="30" borderId="7" xfId="0" applyFont="1" applyFill="1" applyBorder="1" applyAlignment="1" applyProtection="1">
      <alignment horizontal="right"/>
    </xf>
    <xf numFmtId="0" fontId="2" fillId="30" borderId="6" xfId="0" applyFont="1" applyFill="1" applyBorder="1" applyAlignment="1" applyProtection="1">
      <alignment vertical="center"/>
    </xf>
    <xf numFmtId="0" fontId="3" fillId="30" borderId="5" xfId="0" applyFont="1" applyFill="1" applyBorder="1"/>
    <xf numFmtId="0" fontId="12" fillId="30" borderId="6" xfId="0" applyFont="1" applyFill="1" applyBorder="1" applyAlignment="1">
      <alignment vertical="center" wrapText="1"/>
    </xf>
    <xf numFmtId="0" fontId="4" fillId="30" borderId="6" xfId="0" applyFont="1" applyFill="1" applyBorder="1" applyAlignment="1">
      <alignment vertical="center" wrapText="1"/>
    </xf>
    <xf numFmtId="6" fontId="4" fillId="30" borderId="6" xfId="0" applyNumberFormat="1" applyFont="1" applyFill="1" applyBorder="1" applyAlignment="1">
      <alignment horizontal="right" vertical="center" wrapText="1"/>
    </xf>
    <xf numFmtId="0" fontId="3" fillId="30" borderId="6" xfId="0" applyFont="1" applyFill="1" applyBorder="1"/>
    <xf numFmtId="0" fontId="3" fillId="30" borderId="7" xfId="0" applyFont="1" applyFill="1" applyBorder="1"/>
    <xf numFmtId="0" fontId="12" fillId="30" borderId="0" xfId="0" applyFont="1" applyFill="1" applyBorder="1" applyAlignment="1">
      <alignment vertical="center" wrapText="1"/>
    </xf>
    <xf numFmtId="6" fontId="12" fillId="30" borderId="0" xfId="0" applyNumberFormat="1" applyFont="1" applyFill="1" applyBorder="1" applyAlignment="1">
      <alignment horizontal="right" vertical="center" wrapText="1"/>
    </xf>
    <xf numFmtId="0" fontId="12" fillId="30" borderId="0" xfId="0" applyFont="1" applyFill="1" applyBorder="1" applyAlignment="1">
      <alignment horizontal="right" vertical="center" wrapText="1"/>
    </xf>
    <xf numFmtId="0" fontId="12" fillId="30" borderId="0" xfId="0" applyFont="1" applyFill="1" applyBorder="1" applyAlignment="1">
      <alignment horizontal="center"/>
    </xf>
    <xf numFmtId="0" fontId="3" fillId="30" borderId="1" xfId="0" applyFont="1" applyFill="1" applyBorder="1"/>
    <xf numFmtId="0" fontId="3" fillId="30" borderId="2" xfId="0" applyFont="1" applyFill="1" applyBorder="1"/>
    <xf numFmtId="0" fontId="3" fillId="30" borderId="4" xfId="0" applyFont="1" applyFill="1" applyBorder="1" applyAlignment="1"/>
    <xf numFmtId="0" fontId="4" fillId="30" borderId="4" xfId="0" applyFont="1" applyFill="1" applyBorder="1" applyAlignment="1">
      <alignment vertical="top"/>
    </xf>
    <xf numFmtId="0" fontId="3" fillId="30" borderId="4" xfId="0" applyFont="1" applyFill="1" applyBorder="1" applyAlignment="1">
      <alignment vertical="top"/>
    </xf>
    <xf numFmtId="0" fontId="3" fillId="30" borderId="3" xfId="0" applyFont="1" applyFill="1" applyBorder="1" applyAlignment="1"/>
    <xf numFmtId="0" fontId="4" fillId="30" borderId="3" xfId="0" applyFont="1" applyFill="1" applyBorder="1" applyAlignment="1">
      <alignment vertical="top"/>
    </xf>
    <xf numFmtId="0" fontId="3" fillId="30" borderId="3" xfId="0" applyFont="1" applyFill="1" applyBorder="1" applyAlignment="1">
      <alignment vertical="top"/>
    </xf>
    <xf numFmtId="0" fontId="4" fillId="30" borderId="0" xfId="0" applyFont="1" applyFill="1" applyBorder="1" applyAlignment="1">
      <alignment vertical="center" wrapText="1"/>
    </xf>
    <xf numFmtId="6" fontId="4" fillId="30" borderId="0" xfId="0" applyNumberFormat="1" applyFont="1" applyFill="1" applyBorder="1" applyAlignment="1">
      <alignment horizontal="right" vertical="center" wrapText="1"/>
    </xf>
    <xf numFmtId="0" fontId="4" fillId="30" borderId="0" xfId="0" applyFont="1" applyFill="1" applyBorder="1" applyAlignment="1">
      <alignment horizontal="right" vertical="center" wrapText="1"/>
    </xf>
    <xf numFmtId="1" fontId="75" fillId="30" borderId="8" xfId="0" applyNumberFormat="1" applyFont="1" applyFill="1" applyBorder="1" applyAlignment="1" applyProtection="1">
      <alignment horizontal="center"/>
      <protection locked="0"/>
    </xf>
    <xf numFmtId="1" fontId="75" fillId="30" borderId="0" xfId="0" applyNumberFormat="1" applyFont="1" applyFill="1" applyBorder="1" applyAlignment="1">
      <alignment horizontal="center"/>
    </xf>
    <xf numFmtId="0" fontId="0" fillId="15" borderId="12" xfId="1" applyNumberFormat="1" applyFont="1" applyFill="1" applyBorder="1" applyAlignment="1">
      <alignment horizontal="center"/>
    </xf>
    <xf numFmtId="0" fontId="0" fillId="15" borderId="48" xfId="1" applyNumberFormat="1" applyFont="1" applyFill="1" applyBorder="1" applyAlignment="1">
      <alignment horizontal="center"/>
    </xf>
    <xf numFmtId="0" fontId="0" fillId="31" borderId="0" xfId="0" applyFill="1" applyBorder="1"/>
    <xf numFmtId="0" fontId="0" fillId="31" borderId="34" xfId="0" applyFill="1" applyBorder="1"/>
    <xf numFmtId="0" fontId="0" fillId="15" borderId="38" xfId="0" applyFill="1" applyBorder="1"/>
    <xf numFmtId="0" fontId="0" fillId="15" borderId="34" xfId="0" applyFill="1" applyBorder="1"/>
    <xf numFmtId="0" fontId="0" fillId="15" borderId="13" xfId="1" applyNumberFormat="1" applyFont="1" applyFill="1" applyBorder="1" applyAlignment="1">
      <alignment horizontal="center"/>
    </xf>
    <xf numFmtId="0" fontId="0" fillId="15" borderId="47" xfId="1" applyNumberFormat="1" applyFont="1" applyFill="1" applyBorder="1" applyAlignment="1">
      <alignment horizontal="center"/>
    </xf>
    <xf numFmtId="0" fontId="0" fillId="15" borderId="25" xfId="1" applyNumberFormat="1" applyFont="1" applyFill="1" applyBorder="1" applyAlignment="1">
      <alignment horizontal="center"/>
    </xf>
    <xf numFmtId="0" fontId="0" fillId="15" borderId="56" xfId="1" applyNumberFormat="1" applyFont="1" applyFill="1" applyBorder="1" applyAlignment="1">
      <alignment horizontal="center"/>
    </xf>
    <xf numFmtId="0" fontId="0" fillId="20" borderId="35" xfId="0" applyFill="1" applyBorder="1" applyAlignment="1">
      <alignment horizontal="right"/>
    </xf>
    <xf numFmtId="0" fontId="0" fillId="31" borderId="35" xfId="0" applyFill="1" applyBorder="1" applyAlignment="1">
      <alignment horizontal="right"/>
    </xf>
    <xf numFmtId="167" fontId="77" fillId="26" borderId="8" xfId="1" applyNumberFormat="1" applyFont="1" applyFill="1" applyBorder="1" applyAlignment="1">
      <alignment horizontal="center" vertical="center"/>
    </xf>
    <xf numFmtId="167" fontId="77" fillId="12" borderId="8" xfId="1" applyNumberFormat="1" applyFont="1" applyFill="1" applyBorder="1" applyAlignment="1">
      <alignment horizontal="left" vertical="center"/>
    </xf>
    <xf numFmtId="0" fontId="0" fillId="15" borderId="30" xfId="0" applyFill="1" applyBorder="1" applyAlignment="1">
      <alignment horizontal="right"/>
    </xf>
    <xf numFmtId="2" fontId="0" fillId="20" borderId="48" xfId="0" applyNumberFormat="1" applyFill="1" applyBorder="1" applyAlignment="1">
      <alignment horizontal="center"/>
    </xf>
    <xf numFmtId="168" fontId="0" fillId="20" borderId="25" xfId="0" applyNumberFormat="1" applyFill="1" applyBorder="1" applyAlignment="1">
      <alignment horizontal="center"/>
    </xf>
    <xf numFmtId="168" fontId="0" fillId="20" borderId="56" xfId="0" applyNumberFormat="1" applyFill="1" applyBorder="1" applyAlignment="1">
      <alignment horizontal="center"/>
    </xf>
    <xf numFmtId="0" fontId="76" fillId="31" borderId="38" xfId="0" applyFont="1" applyFill="1" applyBorder="1" applyAlignment="1"/>
    <xf numFmtId="0" fontId="76" fillId="31" borderId="39" xfId="0" applyFont="1" applyFill="1" applyBorder="1" applyAlignment="1"/>
    <xf numFmtId="0" fontId="0" fillId="15" borderId="39" xfId="1" applyNumberFormat="1" applyFont="1" applyFill="1" applyBorder="1" applyAlignment="1">
      <alignment horizontal="center"/>
    </xf>
    <xf numFmtId="0" fontId="0" fillId="15" borderId="35" xfId="1" applyNumberFormat="1" applyFont="1" applyFill="1" applyBorder="1" applyAlignment="1">
      <alignment horizontal="center"/>
    </xf>
    <xf numFmtId="0" fontId="0" fillId="15" borderId="15" xfId="1" applyNumberFormat="1" applyFont="1" applyFill="1" applyBorder="1" applyAlignment="1">
      <alignment horizontal="center"/>
    </xf>
    <xf numFmtId="0" fontId="0" fillId="15" borderId="9" xfId="1" applyNumberFormat="1" applyFont="1" applyFill="1" applyBorder="1" applyAlignment="1">
      <alignment horizontal="center"/>
    </xf>
    <xf numFmtId="0" fontId="0" fillId="15" borderId="59" xfId="1" applyNumberFormat="1" applyFont="1" applyFill="1" applyBorder="1" applyAlignment="1">
      <alignment horizontal="center"/>
    </xf>
    <xf numFmtId="177" fontId="75" fillId="30" borderId="80" xfId="1" applyNumberFormat="1" applyFont="1" applyFill="1" applyBorder="1" applyProtection="1">
      <protection locked="0"/>
    </xf>
    <xf numFmtId="0" fontId="2" fillId="30" borderId="0" xfId="0" applyFont="1" applyFill="1" applyBorder="1" applyAlignment="1" applyProtection="1">
      <alignment vertical="top" wrapText="1"/>
    </xf>
    <xf numFmtId="0" fontId="3" fillId="30" borderId="0" xfId="0" applyFont="1" applyFill="1" applyBorder="1" applyAlignment="1" applyProtection="1">
      <alignment vertical="top" wrapText="1"/>
    </xf>
    <xf numFmtId="164" fontId="40" fillId="20" borderId="0" xfId="1" applyFont="1" applyFill="1" applyBorder="1" applyAlignment="1">
      <alignment horizontal="right" vertical="center" wrapText="1"/>
    </xf>
    <xf numFmtId="0" fontId="31" fillId="30" borderId="75" xfId="0" applyNumberFormat="1" applyFont="1" applyFill="1" applyBorder="1" applyAlignment="1" applyProtection="1">
      <alignment horizontal="left" vertical="center" wrapText="1"/>
    </xf>
    <xf numFmtId="0" fontId="30" fillId="29" borderId="50" xfId="0" applyFont="1" applyFill="1" applyBorder="1"/>
    <xf numFmtId="0" fontId="55" fillId="19" borderId="66" xfId="0" applyFont="1" applyFill="1" applyBorder="1" applyAlignment="1">
      <alignment horizontal="center" vertical="center" wrapText="1"/>
    </xf>
    <xf numFmtId="0" fontId="0" fillId="14" borderId="8" xfId="0" applyFill="1" applyBorder="1"/>
    <xf numFmtId="2" fontId="0" fillId="14" borderId="8" xfId="0" applyNumberFormat="1" applyFill="1" applyBorder="1"/>
    <xf numFmtId="2" fontId="0" fillId="17" borderId="8" xfId="0" applyNumberFormat="1" applyFill="1" applyBorder="1"/>
    <xf numFmtId="0" fontId="0" fillId="17" borderId="8" xfId="0" applyFill="1" applyBorder="1"/>
    <xf numFmtId="2" fontId="0" fillId="17" borderId="16" xfId="0" applyNumberFormat="1" applyFill="1" applyBorder="1"/>
    <xf numFmtId="2" fontId="0" fillId="17" borderId="55" xfId="0" applyNumberFormat="1" applyFill="1" applyBorder="1"/>
    <xf numFmtId="2" fontId="0" fillId="17" borderId="48" xfId="0" applyNumberFormat="1" applyFill="1" applyBorder="1"/>
    <xf numFmtId="0" fontId="0" fillId="17" borderId="25" xfId="0" applyFill="1" applyBorder="1"/>
    <xf numFmtId="2" fontId="0" fillId="17" borderId="25" xfId="0" applyNumberFormat="1" applyFill="1" applyBorder="1"/>
    <xf numFmtId="2" fontId="0" fillId="17" borderId="56" xfId="0" applyNumberFormat="1" applyFill="1" applyBorder="1"/>
    <xf numFmtId="1" fontId="0" fillId="15" borderId="38" xfId="0" applyNumberFormat="1" applyFill="1" applyBorder="1" applyAlignment="1">
      <alignment horizontal="center"/>
    </xf>
    <xf numFmtId="2" fontId="0" fillId="17" borderId="15" xfId="0" applyNumberFormat="1" applyFill="1" applyBorder="1"/>
    <xf numFmtId="0" fontId="0" fillId="17" borderId="9" xfId="0" applyFill="1" applyBorder="1"/>
    <xf numFmtId="2" fontId="0" fillId="17" borderId="9" xfId="0" applyNumberFormat="1" applyFill="1" applyBorder="1"/>
    <xf numFmtId="2" fontId="0" fillId="17" borderId="59" xfId="0" applyNumberFormat="1" applyFill="1" applyBorder="1"/>
    <xf numFmtId="2" fontId="0" fillId="17" borderId="12" xfId="0" applyNumberFormat="1" applyFill="1" applyBorder="1"/>
    <xf numFmtId="0" fontId="0" fillId="17" borderId="13" xfId="0" applyFill="1" applyBorder="1"/>
    <xf numFmtId="2" fontId="0" fillId="17" borderId="13" xfId="0" applyNumberFormat="1" applyFill="1" applyBorder="1"/>
    <xf numFmtId="2" fontId="0" fillId="17" borderId="47" xfId="0" applyNumberFormat="1" applyFill="1" applyBorder="1"/>
    <xf numFmtId="2" fontId="0" fillId="6" borderId="16" xfId="0" applyNumberFormat="1" applyFill="1" applyBorder="1"/>
    <xf numFmtId="2" fontId="0" fillId="14" borderId="55" xfId="0" applyNumberFormat="1" applyFill="1" applyBorder="1"/>
    <xf numFmtId="2" fontId="0" fillId="22" borderId="16" xfId="0" applyNumberFormat="1" applyFill="1" applyBorder="1"/>
    <xf numFmtId="2" fontId="0" fillId="22" borderId="48" xfId="0" applyNumberFormat="1" applyFill="1" applyBorder="1"/>
    <xf numFmtId="0" fontId="0" fillId="14" borderId="25" xfId="0" applyFill="1" applyBorder="1"/>
    <xf numFmtId="2" fontId="0" fillId="14" borderId="25" xfId="0" applyNumberFormat="1" applyFill="1" applyBorder="1"/>
    <xf numFmtId="2" fontId="0" fillId="14" borderId="56" xfId="0" applyNumberFormat="1" applyFill="1" applyBorder="1"/>
    <xf numFmtId="49" fontId="1" fillId="14" borderId="10" xfId="0" applyNumberFormat="1" applyFont="1" applyFill="1" applyBorder="1" applyAlignment="1">
      <alignment horizontal="right" vertical="center"/>
    </xf>
    <xf numFmtId="49" fontId="1" fillId="14" borderId="11" xfId="0" applyNumberFormat="1" applyFont="1" applyFill="1" applyBorder="1" applyAlignment="1">
      <alignment horizontal="right" vertical="center"/>
    </xf>
    <xf numFmtId="49" fontId="1" fillId="16" borderId="10" xfId="0" applyNumberFormat="1" applyFont="1" applyFill="1" applyBorder="1" applyAlignment="1">
      <alignment horizontal="right" vertical="center"/>
    </xf>
    <xf numFmtId="49" fontId="1" fillId="16" borderId="11" xfId="0" applyNumberFormat="1" applyFont="1" applyFill="1" applyBorder="1" applyAlignment="1">
      <alignment horizontal="right" vertical="center"/>
    </xf>
    <xf numFmtId="164" fontId="1" fillId="16" borderId="22" xfId="1" applyFont="1" applyFill="1" applyBorder="1" applyAlignment="1">
      <alignment horizontal="center" vertical="center"/>
    </xf>
    <xf numFmtId="1" fontId="1" fillId="16" borderId="22" xfId="0" applyNumberFormat="1" applyFont="1" applyFill="1" applyBorder="1" applyAlignment="1">
      <alignment horizontal="center" vertical="center"/>
    </xf>
    <xf numFmtId="178" fontId="29" fillId="0" borderId="0" xfId="0" applyNumberFormat="1" applyFont="1" applyFill="1" applyBorder="1"/>
    <xf numFmtId="168" fontId="1" fillId="14" borderId="22" xfId="0" applyNumberFormat="1" applyFont="1" applyFill="1" applyBorder="1" applyAlignment="1">
      <alignment horizontal="center" vertical="center"/>
    </xf>
    <xf numFmtId="0" fontId="5" fillId="20" borderId="14" xfId="0" applyFont="1" applyFill="1" applyBorder="1" applyAlignment="1">
      <alignment horizontal="left" vertical="center" wrapText="1"/>
    </xf>
    <xf numFmtId="0" fontId="5" fillId="20" borderId="0" xfId="0" applyFont="1" applyFill="1" applyBorder="1" applyAlignment="1">
      <alignment horizontal="left" vertical="center" wrapText="1"/>
    </xf>
    <xf numFmtId="164" fontId="78" fillId="0" borderId="8" xfId="1" applyFont="1" applyFill="1" applyBorder="1" applyAlignment="1" applyProtection="1">
      <alignment horizontal="center" vertical="center"/>
      <protection locked="0"/>
    </xf>
    <xf numFmtId="1" fontId="79" fillId="30" borderId="4" xfId="0" applyNumberFormat="1" applyFont="1" applyFill="1" applyBorder="1" applyAlignment="1" applyProtection="1">
      <alignment horizontal="center"/>
    </xf>
    <xf numFmtId="166" fontId="4" fillId="20" borderId="14" xfId="1" applyNumberFormat="1" applyFont="1" applyFill="1" applyBorder="1" applyAlignment="1">
      <alignment horizontal="right" vertical="center" wrapText="1"/>
    </xf>
    <xf numFmtId="0" fontId="80" fillId="8" borderId="0" xfId="0" applyFont="1" applyFill="1"/>
    <xf numFmtId="49" fontId="80" fillId="8" borderId="0" xfId="0" applyNumberFormat="1" applyFont="1" applyFill="1"/>
    <xf numFmtId="165" fontId="12" fillId="19" borderId="0" xfId="8" applyNumberFormat="1" applyFont="1" applyFill="1" applyBorder="1" applyAlignment="1">
      <alignment horizontal="right"/>
    </xf>
    <xf numFmtId="165" fontId="12" fillId="19" borderId="21" xfId="8" applyNumberFormat="1" applyFont="1" applyFill="1" applyBorder="1" applyAlignment="1">
      <alignment horizontal="right"/>
    </xf>
    <xf numFmtId="0" fontId="12" fillId="19" borderId="14" xfId="0" applyFont="1" applyFill="1" applyBorder="1" applyAlignment="1">
      <alignment horizontal="left" wrapText="1"/>
    </xf>
    <xf numFmtId="0" fontId="12" fillId="19" borderId="0" xfId="0" applyFont="1" applyFill="1" applyBorder="1" applyAlignment="1">
      <alignment horizontal="left" wrapText="1"/>
    </xf>
    <xf numFmtId="0" fontId="82" fillId="30" borderId="0" xfId="0" applyFont="1" applyFill="1" applyBorder="1" applyAlignment="1">
      <alignment horizontal="center" vertical="center"/>
    </xf>
    <xf numFmtId="0" fontId="81" fillId="30" borderId="0" xfId="0" applyFont="1" applyFill="1" applyBorder="1" applyAlignment="1"/>
    <xf numFmtId="0" fontId="75" fillId="30" borderId="0" xfId="0" applyFont="1" applyFill="1" applyBorder="1" applyAlignment="1">
      <alignment horizontal="right" vertical="center"/>
    </xf>
    <xf numFmtId="2" fontId="63" fillId="0" borderId="8" xfId="1" applyNumberFormat="1" applyFont="1" applyFill="1" applyBorder="1" applyAlignment="1" applyProtection="1">
      <alignment horizontal="center" vertical="center"/>
      <protection locked="0"/>
    </xf>
    <xf numFmtId="0" fontId="4" fillId="17" borderId="14" xfId="0" applyFont="1" applyFill="1" applyBorder="1" applyAlignment="1">
      <alignment vertical="center" wrapText="1"/>
    </xf>
    <xf numFmtId="0" fontId="4" fillId="17" borderId="0" xfId="0" applyFont="1" applyFill="1" applyBorder="1" applyAlignment="1">
      <alignment vertical="center" wrapText="1"/>
    </xf>
    <xf numFmtId="0" fontId="55" fillId="19" borderId="60" xfId="0" applyFont="1" applyFill="1" applyBorder="1" applyAlignment="1">
      <alignment horizontal="center" vertical="center" wrapText="1"/>
    </xf>
    <xf numFmtId="0" fontId="1" fillId="16" borderId="27" xfId="0" applyFont="1" applyFill="1" applyBorder="1" applyAlignment="1">
      <alignment horizontal="center" vertical="center"/>
    </xf>
    <xf numFmtId="0" fontId="1" fillId="16" borderId="31" xfId="0" applyFont="1" applyFill="1" applyBorder="1" applyAlignment="1">
      <alignment horizontal="center" vertical="center"/>
    </xf>
    <xf numFmtId="0" fontId="1" fillId="16" borderId="33" xfId="0" applyFont="1" applyFill="1" applyBorder="1" applyAlignment="1">
      <alignment horizontal="center" vertical="center"/>
    </xf>
    <xf numFmtId="0" fontId="55" fillId="19" borderId="81" xfId="0" applyFont="1" applyFill="1" applyBorder="1" applyAlignment="1">
      <alignment horizontal="center" vertical="center" wrapText="1"/>
    </xf>
    <xf numFmtId="49" fontId="1" fillId="6" borderId="29" xfId="5" applyNumberFormat="1" applyFont="1" applyFill="1" applyBorder="1" applyAlignment="1">
      <alignment horizontal="left" vertical="center"/>
    </xf>
    <xf numFmtId="49" fontId="1" fillId="6" borderId="5" xfId="5" applyNumberFormat="1" applyFont="1" applyFill="1" applyBorder="1" applyAlignment="1">
      <alignment horizontal="left" vertical="center"/>
    </xf>
    <xf numFmtId="49" fontId="1" fillId="6" borderId="30" xfId="5" applyNumberFormat="1" applyFont="1" applyFill="1" applyBorder="1" applyAlignment="1">
      <alignment horizontal="left" vertical="center"/>
    </xf>
    <xf numFmtId="0" fontId="54" fillId="20" borderId="12" xfId="0" applyFont="1" applyFill="1" applyBorder="1" applyAlignment="1">
      <alignment horizontal="center" vertical="center" wrapText="1"/>
    </xf>
    <xf numFmtId="0" fontId="54" fillId="20" borderId="13" xfId="0" applyFont="1" applyFill="1" applyBorder="1" applyAlignment="1">
      <alignment horizontal="center" vertical="center" wrapText="1"/>
    </xf>
    <xf numFmtId="0" fontId="54" fillId="20" borderId="47" xfId="0" applyFont="1" applyFill="1" applyBorder="1" applyAlignment="1">
      <alignment horizontal="center" vertical="center" wrapText="1"/>
    </xf>
    <xf numFmtId="0" fontId="54" fillId="20" borderId="16" xfId="0" applyFont="1" applyFill="1" applyBorder="1" applyAlignment="1">
      <alignment horizontal="center" vertical="center" wrapText="1"/>
    </xf>
    <xf numFmtId="0" fontId="54" fillId="20" borderId="55" xfId="0" applyFont="1" applyFill="1" applyBorder="1" applyAlignment="1">
      <alignment horizontal="center" vertical="center" wrapText="1"/>
    </xf>
    <xf numFmtId="0" fontId="54" fillId="20" borderId="48" xfId="0" applyFont="1" applyFill="1" applyBorder="1" applyAlignment="1">
      <alignment horizontal="center" vertical="center" wrapText="1"/>
    </xf>
    <xf numFmtId="0" fontId="54" fillId="20" borderId="25" xfId="0" applyFont="1" applyFill="1" applyBorder="1" applyAlignment="1">
      <alignment horizontal="center" vertical="center" wrapText="1"/>
    </xf>
    <xf numFmtId="0" fontId="54" fillId="20" borderId="56" xfId="0" applyFont="1" applyFill="1" applyBorder="1" applyAlignment="1">
      <alignment horizontal="center" vertical="center" wrapText="1"/>
    </xf>
    <xf numFmtId="49" fontId="1" fillId="6" borderId="3" xfId="5" applyNumberFormat="1" applyFont="1" applyFill="1" applyBorder="1" applyAlignment="1">
      <alignment horizontal="left" vertical="center"/>
    </xf>
    <xf numFmtId="49" fontId="1" fillId="6" borderId="27" xfId="5" applyNumberFormat="1" applyFont="1" applyFill="1" applyBorder="1" applyAlignment="1">
      <alignment horizontal="left" vertical="center" wrapText="1"/>
    </xf>
    <xf numFmtId="0" fontId="1" fillId="6" borderId="31" xfId="0" applyFont="1" applyFill="1" applyBorder="1" applyAlignment="1">
      <alignment vertical="center" wrapText="1"/>
    </xf>
    <xf numFmtId="0" fontId="1" fillId="6" borderId="33" xfId="0" applyFont="1" applyFill="1" applyBorder="1" applyAlignment="1">
      <alignment vertical="center" wrapText="1"/>
    </xf>
    <xf numFmtId="164" fontId="11" fillId="19" borderId="14" xfId="1" applyFont="1" applyFill="1" applyBorder="1" applyAlignment="1">
      <alignment horizontal="right" vertical="top" wrapText="1"/>
    </xf>
    <xf numFmtId="164" fontId="11" fillId="19" borderId="0" xfId="1" applyFont="1" applyFill="1" applyBorder="1" applyAlignment="1">
      <alignment horizontal="right" vertical="top" wrapText="1"/>
    </xf>
    <xf numFmtId="166" fontId="11" fillId="19" borderId="14" xfId="0" applyNumberFormat="1" applyFont="1" applyFill="1" applyBorder="1" applyAlignment="1">
      <alignment horizontal="right" vertical="top" wrapText="1"/>
    </xf>
    <xf numFmtId="166" fontId="11" fillId="19" borderId="0" xfId="0" applyNumberFormat="1" applyFont="1" applyFill="1" applyBorder="1" applyAlignment="1">
      <alignment horizontal="right" vertical="top" wrapText="1"/>
    </xf>
    <xf numFmtId="0" fontId="12" fillId="19" borderId="14" xfId="0" applyFont="1" applyFill="1" applyBorder="1" applyAlignment="1">
      <alignment horizontal="left" wrapText="1"/>
    </xf>
    <xf numFmtId="0" fontId="12" fillId="19" borderId="0" xfId="0" applyFont="1" applyFill="1" applyBorder="1" applyAlignment="1">
      <alignment horizontal="left" wrapText="1"/>
    </xf>
    <xf numFmtId="1" fontId="11" fillId="19" borderId="0" xfId="0" applyNumberFormat="1" applyFont="1" applyFill="1" applyBorder="1" applyAlignment="1">
      <alignment horizontal="left" vertical="top" wrapText="1"/>
    </xf>
    <xf numFmtId="0" fontId="11" fillId="19" borderId="0" xfId="0" applyFont="1" applyFill="1" applyBorder="1" applyAlignment="1">
      <alignment horizontal="left" vertical="top" wrapText="1"/>
    </xf>
    <xf numFmtId="0" fontId="5" fillId="20" borderId="14" xfId="0" applyFont="1" applyFill="1" applyBorder="1" applyAlignment="1">
      <alignment horizontal="left" vertical="center" wrapText="1"/>
    </xf>
    <xf numFmtId="0" fontId="5" fillId="20" borderId="0" xfId="0" applyFont="1" applyFill="1" applyBorder="1" applyAlignment="1">
      <alignment horizontal="left" vertical="center" wrapText="1"/>
    </xf>
    <xf numFmtId="0" fontId="4" fillId="17" borderId="14" xfId="0" applyFont="1" applyFill="1" applyBorder="1" applyAlignment="1">
      <alignment horizontal="left" vertical="center" wrapText="1"/>
    </xf>
    <xf numFmtId="0" fontId="4" fillId="17" borderId="4" xfId="0" applyFont="1" applyFill="1" applyBorder="1" applyAlignment="1">
      <alignment horizontal="left" vertical="center" wrapText="1"/>
    </xf>
    <xf numFmtId="0" fontId="22" fillId="17" borderId="38" xfId="0" applyFont="1" applyFill="1" applyBorder="1" applyAlignment="1">
      <alignment vertical="center" wrapText="1"/>
    </xf>
    <xf numFmtId="0" fontId="22" fillId="17" borderId="39" xfId="0" applyFont="1" applyFill="1" applyBorder="1" applyAlignment="1">
      <alignment vertical="center" wrapText="1"/>
    </xf>
    <xf numFmtId="0" fontId="22" fillId="17" borderId="40" xfId="0" applyFont="1" applyFill="1" applyBorder="1" applyAlignment="1">
      <alignment vertical="center" wrapText="1"/>
    </xf>
    <xf numFmtId="0" fontId="4" fillId="17" borderId="1" xfId="0" applyFont="1" applyFill="1" applyBorder="1" applyAlignment="1">
      <alignment horizontal="center" vertical="center"/>
    </xf>
    <xf numFmtId="0" fontId="4" fillId="17" borderId="2"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2" xfId="0" applyFont="1" applyFill="1" applyBorder="1" applyAlignment="1">
      <alignment horizontal="center" vertical="center"/>
    </xf>
    <xf numFmtId="0" fontId="4" fillId="22" borderId="38" xfId="0" applyFont="1" applyFill="1" applyBorder="1" applyAlignment="1">
      <alignment horizontal="left" vertical="center" wrapText="1"/>
    </xf>
    <xf numFmtId="0" fontId="4" fillId="22" borderId="39" xfId="0" applyFont="1" applyFill="1" applyBorder="1" applyAlignment="1">
      <alignment horizontal="left" vertical="center" wrapText="1"/>
    </xf>
    <xf numFmtId="0" fontId="5" fillId="22" borderId="14" xfId="0" applyFont="1" applyFill="1" applyBorder="1" applyAlignment="1">
      <alignment horizontal="left" vertical="center" wrapText="1"/>
    </xf>
    <xf numFmtId="0" fontId="5" fillId="22" borderId="0" xfId="0" applyFont="1" applyFill="1" applyBorder="1" applyAlignment="1">
      <alignment horizontal="left" vertical="center" wrapText="1"/>
    </xf>
    <xf numFmtId="0" fontId="11" fillId="17" borderId="34" xfId="0" applyFont="1" applyFill="1" applyBorder="1" applyAlignment="1">
      <alignment horizontal="left" vertical="top" wrapText="1"/>
    </xf>
    <xf numFmtId="0" fontId="11" fillId="17" borderId="35" xfId="0" applyFont="1" applyFill="1" applyBorder="1" applyAlignment="1">
      <alignment horizontal="left" vertical="top" wrapText="1"/>
    </xf>
    <xf numFmtId="0" fontId="33" fillId="20" borderId="14" xfId="0" applyFont="1" applyFill="1" applyBorder="1" applyAlignment="1">
      <alignment horizontal="left" vertical="center" wrapText="1"/>
    </xf>
    <xf numFmtId="0" fontId="33" fillId="20" borderId="0" xfId="0" applyFont="1" applyFill="1" applyBorder="1" applyAlignment="1">
      <alignment horizontal="left" vertical="center" wrapText="1"/>
    </xf>
    <xf numFmtId="6" fontId="32" fillId="17" borderId="14" xfId="0" applyNumberFormat="1" applyFont="1" applyFill="1" applyBorder="1" applyAlignment="1">
      <alignment horizontal="right" vertical="center" wrapText="1"/>
    </xf>
    <xf numFmtId="6" fontId="32" fillId="17" borderId="0" xfId="0" applyNumberFormat="1" applyFont="1" applyFill="1" applyBorder="1" applyAlignment="1">
      <alignment horizontal="right" vertical="center" wrapText="1"/>
    </xf>
    <xf numFmtId="0" fontId="22" fillId="19" borderId="38" xfId="0" applyFont="1" applyFill="1" applyBorder="1" applyAlignment="1">
      <alignment vertical="center" wrapText="1"/>
    </xf>
    <xf numFmtId="0" fontId="22" fillId="19" borderId="39" xfId="0" applyFont="1" applyFill="1" applyBorder="1" applyAlignment="1">
      <alignment vertical="center" wrapText="1"/>
    </xf>
    <xf numFmtId="0" fontId="22" fillId="19" borderId="40" xfId="0" applyFont="1" applyFill="1" applyBorder="1" applyAlignment="1">
      <alignment vertical="center" wrapText="1"/>
    </xf>
    <xf numFmtId="0" fontId="4" fillId="20" borderId="38" xfId="0" applyFont="1" applyFill="1" applyBorder="1" applyAlignment="1">
      <alignment horizontal="left" vertical="center" wrapText="1"/>
    </xf>
    <xf numFmtId="0" fontId="4" fillId="20" borderId="39" xfId="0" applyFont="1" applyFill="1" applyBorder="1" applyAlignment="1">
      <alignment horizontal="left" vertical="center" wrapText="1"/>
    </xf>
    <xf numFmtId="165" fontId="12" fillId="19" borderId="70" xfId="8" applyNumberFormat="1" applyFont="1" applyFill="1" applyBorder="1" applyAlignment="1">
      <alignment horizontal="right"/>
    </xf>
    <xf numFmtId="165" fontId="12" fillId="19" borderId="71" xfId="8" applyNumberFormat="1" applyFont="1" applyFill="1" applyBorder="1" applyAlignment="1">
      <alignment horizontal="right"/>
    </xf>
    <xf numFmtId="165" fontId="11" fillId="19" borderId="0" xfId="8" applyNumberFormat="1" applyFont="1" applyFill="1" applyBorder="1" applyAlignment="1">
      <alignment horizontal="right"/>
    </xf>
    <xf numFmtId="165" fontId="11" fillId="19" borderId="21" xfId="8" applyNumberFormat="1" applyFont="1" applyFill="1" applyBorder="1" applyAlignment="1">
      <alignment horizontal="right"/>
    </xf>
    <xf numFmtId="165" fontId="4" fillId="17" borderId="70" xfId="8" applyNumberFormat="1" applyFont="1" applyFill="1" applyBorder="1" applyAlignment="1">
      <alignment horizontal="right"/>
    </xf>
    <xf numFmtId="165" fontId="4" fillId="17" borderId="71" xfId="8" applyNumberFormat="1" applyFont="1" applyFill="1" applyBorder="1" applyAlignment="1">
      <alignment horizontal="right"/>
    </xf>
    <xf numFmtId="0" fontId="4" fillId="17" borderId="0" xfId="0" applyFont="1" applyFill="1" applyBorder="1" applyAlignment="1">
      <alignment horizontal="left" vertical="center" wrapText="1"/>
    </xf>
    <xf numFmtId="6" fontId="4" fillId="17" borderId="35" xfId="0" applyNumberFormat="1" applyFont="1" applyFill="1" applyBorder="1" applyAlignment="1">
      <alignment horizontal="right" vertical="center" wrapText="1"/>
    </xf>
    <xf numFmtId="6" fontId="4" fillId="17" borderId="36" xfId="0" applyNumberFormat="1" applyFont="1" applyFill="1" applyBorder="1" applyAlignment="1">
      <alignment horizontal="right" vertical="center" wrapText="1"/>
    </xf>
    <xf numFmtId="165" fontId="4" fillId="17" borderId="35" xfId="8" applyNumberFormat="1" applyFont="1" applyFill="1" applyBorder="1" applyAlignment="1">
      <alignment horizontal="right" vertical="top"/>
    </xf>
    <xf numFmtId="165" fontId="4" fillId="17" borderId="36" xfId="8" applyNumberFormat="1" applyFont="1" applyFill="1" applyBorder="1" applyAlignment="1">
      <alignment horizontal="right" vertical="top"/>
    </xf>
    <xf numFmtId="0" fontId="6" fillId="30" borderId="1" xfId="0" applyFont="1" applyFill="1" applyBorder="1" applyAlignment="1">
      <alignment horizontal="center"/>
    </xf>
    <xf numFmtId="0" fontId="6" fillId="30" borderId="43" xfId="0" applyFont="1" applyFill="1" applyBorder="1" applyAlignment="1">
      <alignment horizontal="center"/>
    </xf>
    <xf numFmtId="0" fontId="6" fillId="30" borderId="2" xfId="0" applyFont="1" applyFill="1" applyBorder="1" applyAlignment="1">
      <alignment horizontal="center"/>
    </xf>
    <xf numFmtId="0" fontId="2" fillId="30" borderId="0" xfId="0" applyFont="1" applyFill="1" applyBorder="1" applyAlignment="1">
      <alignment horizontal="left" vertical="center"/>
    </xf>
    <xf numFmtId="0" fontId="2" fillId="30" borderId="4" xfId="0" applyFont="1" applyFill="1" applyBorder="1" applyAlignment="1">
      <alignment horizontal="left" vertical="center"/>
    </xf>
    <xf numFmtId="0" fontId="2" fillId="30" borderId="43" xfId="0" applyFont="1" applyFill="1" applyBorder="1" applyAlignment="1">
      <alignment horizontal="left" wrapText="1"/>
    </xf>
    <xf numFmtId="0" fontId="32" fillId="30" borderId="3" xfId="0" applyFont="1" applyFill="1" applyBorder="1" applyAlignment="1">
      <alignment horizontal="left" vertical="center" wrapText="1"/>
    </xf>
    <xf numFmtId="0" fontId="32" fillId="30" borderId="4" xfId="0" applyFont="1" applyFill="1" applyBorder="1" applyAlignment="1">
      <alignment horizontal="left" vertical="center" wrapText="1"/>
    </xf>
    <xf numFmtId="0" fontId="2" fillId="30" borderId="0" xfId="0" applyFont="1" applyFill="1" applyBorder="1" applyAlignment="1">
      <alignment vertical="center"/>
    </xf>
    <xf numFmtId="0" fontId="2" fillId="30" borderId="4" xfId="0" applyFont="1" applyFill="1" applyBorder="1" applyAlignment="1">
      <alignment vertical="center"/>
    </xf>
    <xf numFmtId="0" fontId="63" fillId="0" borderId="37" xfId="0" applyFont="1" applyFill="1" applyBorder="1" applyAlignment="1" applyProtection="1">
      <alignment horizontal="left" vertical="center"/>
      <protection locked="0"/>
    </xf>
    <xf numFmtId="0" fontId="63" fillId="0" borderId="44" xfId="0" applyFont="1" applyFill="1" applyBorder="1" applyAlignment="1" applyProtection="1">
      <alignment horizontal="left" vertical="center"/>
      <protection locked="0"/>
    </xf>
    <xf numFmtId="0" fontId="63" fillId="0" borderId="49" xfId="0" applyFont="1" applyFill="1" applyBorder="1" applyAlignment="1" applyProtection="1">
      <alignment horizontal="left" vertical="center"/>
      <protection locked="0"/>
    </xf>
    <xf numFmtId="165" fontId="4" fillId="17" borderId="0" xfId="8" applyNumberFormat="1" applyFont="1" applyFill="1" applyBorder="1" applyAlignment="1">
      <alignment horizontal="right" vertical="top"/>
    </xf>
    <xf numFmtId="165" fontId="4" fillId="17" borderId="21" xfId="8" applyNumberFormat="1" applyFont="1" applyFill="1" applyBorder="1" applyAlignment="1">
      <alignment horizontal="right" vertical="top"/>
    </xf>
    <xf numFmtId="0" fontId="74" fillId="17" borderId="38" xfId="0" applyFont="1" applyFill="1" applyBorder="1" applyAlignment="1">
      <alignment vertical="center" wrapText="1"/>
    </xf>
    <xf numFmtId="0" fontId="74" fillId="17" borderId="39" xfId="0" applyFont="1" applyFill="1" applyBorder="1" applyAlignment="1">
      <alignment vertical="center" wrapText="1"/>
    </xf>
    <xf numFmtId="0" fontId="74" fillId="17" borderId="40" xfId="0" applyFont="1" applyFill="1" applyBorder="1" applyAlignment="1">
      <alignment vertical="center" wrapText="1"/>
    </xf>
    <xf numFmtId="0" fontId="4" fillId="17" borderId="14" xfId="0" applyFont="1" applyFill="1" applyBorder="1" applyAlignment="1">
      <alignment horizontal="left" wrapText="1"/>
    </xf>
    <xf numFmtId="0" fontId="4" fillId="17" borderId="0" xfId="0" applyFont="1" applyFill="1" applyBorder="1" applyAlignment="1">
      <alignment horizontal="left" wrapText="1"/>
    </xf>
    <xf numFmtId="165" fontId="4" fillId="17" borderId="0" xfId="8" applyNumberFormat="1" applyFont="1" applyFill="1" applyBorder="1" applyAlignment="1">
      <alignment horizontal="right"/>
    </xf>
    <xf numFmtId="165" fontId="4" fillId="17" borderId="21" xfId="8" applyNumberFormat="1" applyFont="1" applyFill="1" applyBorder="1" applyAlignment="1">
      <alignment horizontal="right"/>
    </xf>
    <xf numFmtId="9" fontId="4" fillId="17" borderId="14" xfId="0" applyNumberFormat="1" applyFont="1" applyFill="1" applyBorder="1" applyAlignment="1">
      <alignment wrapText="1"/>
    </xf>
    <xf numFmtId="9" fontId="4" fillId="17" borderId="0" xfId="0" applyNumberFormat="1" applyFont="1" applyFill="1" applyBorder="1" applyAlignment="1">
      <alignment wrapText="1"/>
    </xf>
    <xf numFmtId="0" fontId="4" fillId="17" borderId="0" xfId="0" applyFont="1" applyFill="1" applyBorder="1" applyAlignment="1">
      <alignment wrapText="1"/>
    </xf>
    <xf numFmtId="0" fontId="4" fillId="17" borderId="14" xfId="0" applyFont="1" applyFill="1" applyBorder="1" applyAlignment="1">
      <alignment vertical="center" wrapText="1"/>
    </xf>
    <xf numFmtId="0" fontId="4" fillId="17" borderId="0" xfId="0" applyFont="1" applyFill="1" applyBorder="1" applyAlignment="1">
      <alignment vertical="center" wrapText="1"/>
    </xf>
    <xf numFmtId="0" fontId="2" fillId="30" borderId="0" xfId="0" applyFont="1" applyFill="1" applyBorder="1" applyAlignment="1" applyProtection="1">
      <alignment horizontal="left" vertical="top" wrapText="1"/>
    </xf>
    <xf numFmtId="0" fontId="5" fillId="8" borderId="1" xfId="0" applyFont="1" applyFill="1" applyBorder="1" applyAlignment="1" applyProtection="1">
      <alignment horizontal="left" vertical="top" wrapText="1"/>
      <protection locked="0"/>
    </xf>
    <xf numFmtId="0" fontId="5" fillId="8" borderId="2" xfId="0" applyFont="1" applyFill="1" applyBorder="1" applyAlignment="1" applyProtection="1">
      <alignment horizontal="left" vertical="top" wrapText="1"/>
      <protection locked="0"/>
    </xf>
    <xf numFmtId="0" fontId="5" fillId="8" borderId="3" xfId="0" applyFont="1" applyFill="1" applyBorder="1" applyAlignment="1" applyProtection="1">
      <alignment horizontal="left" vertical="top" wrapText="1"/>
      <protection locked="0"/>
    </xf>
    <xf numFmtId="0" fontId="5" fillId="8" borderId="4" xfId="0" applyFont="1" applyFill="1" applyBorder="1" applyAlignment="1" applyProtection="1">
      <alignment horizontal="left" vertical="top" wrapText="1"/>
      <protection locked="0"/>
    </xf>
    <xf numFmtId="0" fontId="5" fillId="8" borderId="5" xfId="0" applyFont="1" applyFill="1" applyBorder="1" applyAlignment="1" applyProtection="1">
      <alignment horizontal="left" vertical="top" wrapText="1"/>
      <protection locked="0"/>
    </xf>
    <xf numFmtId="0" fontId="5" fillId="8" borderId="7" xfId="0" applyFont="1" applyFill="1" applyBorder="1" applyAlignment="1" applyProtection="1">
      <alignment horizontal="left" vertical="top" wrapText="1"/>
      <protection locked="0"/>
    </xf>
    <xf numFmtId="0" fontId="31" fillId="30" borderId="0" xfId="0" applyNumberFormat="1" applyFont="1" applyFill="1" applyBorder="1" applyAlignment="1" applyProtection="1">
      <alignment horizontal="center" vertical="center" wrapText="1"/>
      <protection locked="0"/>
    </xf>
    <xf numFmtId="0" fontId="46" fillId="30" borderId="0" xfId="0" applyNumberFormat="1" applyFont="1" applyFill="1" applyBorder="1" applyAlignment="1" applyProtection="1">
      <alignment horizontal="left" vertical="center" wrapText="1"/>
    </xf>
    <xf numFmtId="0" fontId="2" fillId="30" borderId="0" xfId="0" applyFont="1" applyFill="1" applyBorder="1" applyAlignment="1" applyProtection="1">
      <alignment horizontal="right" vertical="top" wrapText="1"/>
    </xf>
    <xf numFmtId="0" fontId="6" fillId="30" borderId="45" xfId="0" applyFont="1" applyFill="1" applyBorder="1" applyAlignment="1">
      <alignment vertical="center" wrapText="1"/>
    </xf>
    <xf numFmtId="0" fontId="5" fillId="17" borderId="0" xfId="0" applyFont="1" applyFill="1" applyBorder="1" applyAlignment="1">
      <alignment horizontal="left" vertical="center" wrapText="1"/>
    </xf>
    <xf numFmtId="0" fontId="5" fillId="17" borderId="43" xfId="0" applyFont="1" applyFill="1" applyBorder="1" applyAlignment="1">
      <alignment horizontal="left" vertical="top" wrapText="1"/>
    </xf>
    <xf numFmtId="0" fontId="5" fillId="17" borderId="0" xfId="0" applyFont="1" applyFill="1" applyBorder="1" applyAlignment="1">
      <alignment horizontal="left" vertical="top" wrapText="1"/>
    </xf>
    <xf numFmtId="0" fontId="5" fillId="17" borderId="6" xfId="0" applyFont="1" applyFill="1" applyBorder="1" applyAlignment="1">
      <alignment horizontal="left" vertical="top" wrapText="1"/>
    </xf>
    <xf numFmtId="0" fontId="6" fillId="17" borderId="3" xfId="0" applyFont="1" applyFill="1" applyBorder="1" applyAlignment="1">
      <alignment horizontal="center" vertical="center" wrapText="1"/>
    </xf>
    <xf numFmtId="0" fontId="6" fillId="17" borderId="0" xfId="0" applyFont="1" applyFill="1" applyBorder="1" applyAlignment="1">
      <alignment horizontal="center" vertical="center"/>
    </xf>
    <xf numFmtId="0" fontId="6" fillId="17" borderId="4" xfId="0" applyFont="1" applyFill="1" applyBorder="1" applyAlignment="1">
      <alignment horizontal="center" vertical="center"/>
    </xf>
    <xf numFmtId="0" fontId="4" fillId="17" borderId="26" xfId="0" applyFont="1" applyFill="1" applyBorder="1" applyAlignment="1">
      <alignment horizontal="left" vertical="center" wrapText="1"/>
    </xf>
    <xf numFmtId="0" fontId="4" fillId="17" borderId="33" xfId="0" applyFont="1" applyFill="1" applyBorder="1" applyAlignment="1">
      <alignment horizontal="left" vertical="center" wrapText="1"/>
    </xf>
    <xf numFmtId="0" fontId="21" fillId="17" borderId="39" xfId="0" applyFont="1" applyFill="1" applyBorder="1" applyAlignment="1">
      <alignment horizontal="left" vertical="center" wrapText="1"/>
    </xf>
    <xf numFmtId="0" fontId="48" fillId="24" borderId="0" xfId="7" applyFont="1" applyFill="1" applyBorder="1" applyAlignment="1" applyProtection="1">
      <alignment horizontal="center" vertical="center" textRotation="90" wrapText="1"/>
    </xf>
    <xf numFmtId="0" fontId="48" fillId="24" borderId="72" xfId="7" applyFont="1" applyFill="1" applyBorder="1" applyAlignment="1" applyProtection="1">
      <alignment horizontal="center" vertical="center" textRotation="90" wrapText="1"/>
    </xf>
    <xf numFmtId="0" fontId="49" fillId="24" borderId="73" xfId="7" applyFont="1" applyFill="1" applyBorder="1" applyAlignment="1" applyProtection="1">
      <alignment vertical="center" textRotation="90"/>
    </xf>
    <xf numFmtId="0" fontId="49" fillId="24" borderId="74" xfId="7" applyFont="1" applyFill="1" applyBorder="1" applyAlignment="1" applyProtection="1">
      <alignment vertical="center" textRotation="90"/>
    </xf>
    <xf numFmtId="0" fontId="25" fillId="4" borderId="0" xfId="7" applyFont="1" applyFill="1" applyBorder="1" applyAlignment="1" applyProtection="1">
      <alignment horizontal="left"/>
    </xf>
    <xf numFmtId="0" fontId="7" fillId="0" borderId="37" xfId="7" applyFont="1" applyFill="1" applyBorder="1" applyAlignment="1" applyProtection="1">
      <alignment horizontal="center"/>
      <protection locked="0"/>
    </xf>
    <xf numFmtId="0" fontId="7" fillId="0" borderId="44" xfId="7" applyFont="1" applyFill="1" applyBorder="1" applyAlignment="1" applyProtection="1">
      <alignment horizontal="center"/>
      <protection locked="0"/>
    </xf>
    <xf numFmtId="0" fontId="7" fillId="0" borderId="49" xfId="7" applyFont="1" applyFill="1" applyBorder="1" applyAlignment="1" applyProtection="1">
      <alignment horizontal="center"/>
      <protection locked="0"/>
    </xf>
    <xf numFmtId="0" fontId="23" fillId="4" borderId="0" xfId="7" applyFont="1" applyFill="1" applyBorder="1" applyAlignment="1" applyProtection="1">
      <alignment horizontal="left" wrapText="1"/>
    </xf>
    <xf numFmtId="0" fontId="23" fillId="0" borderId="1" xfId="7" applyFill="1" applyBorder="1" applyAlignment="1" applyProtection="1">
      <alignment horizontal="left" vertical="top" wrapText="1"/>
      <protection locked="0"/>
    </xf>
    <xf numFmtId="0" fontId="23" fillId="0" borderId="43" xfId="7" applyFill="1" applyBorder="1" applyAlignment="1" applyProtection="1">
      <alignment horizontal="left" vertical="top" wrapText="1"/>
      <protection locked="0"/>
    </xf>
    <xf numFmtId="0" fontId="23" fillId="0" borderId="2" xfId="7" applyFill="1" applyBorder="1" applyAlignment="1" applyProtection="1">
      <alignment horizontal="left" vertical="top" wrapText="1"/>
      <protection locked="0"/>
    </xf>
    <xf numFmtId="0" fontId="23" fillId="0" borderId="3" xfId="7" applyFill="1" applyBorder="1" applyAlignment="1" applyProtection="1">
      <alignment horizontal="left" vertical="top" wrapText="1"/>
      <protection locked="0"/>
    </xf>
    <xf numFmtId="0" fontId="23" fillId="0" borderId="0" xfId="7" applyFill="1" applyBorder="1" applyAlignment="1" applyProtection="1">
      <alignment horizontal="left" vertical="top" wrapText="1"/>
      <protection locked="0"/>
    </xf>
    <xf numFmtId="0" fontId="23" fillId="0" borderId="4" xfId="7" applyFill="1" applyBorder="1" applyAlignment="1" applyProtection="1">
      <alignment horizontal="left" vertical="top" wrapText="1"/>
      <protection locked="0"/>
    </xf>
    <xf numFmtId="0" fontId="23" fillId="0" borderId="5" xfId="7" applyFill="1" applyBorder="1" applyAlignment="1" applyProtection="1">
      <alignment horizontal="left" vertical="top" wrapText="1"/>
      <protection locked="0"/>
    </xf>
    <xf numFmtId="0" fontId="23" fillId="0" borderId="6" xfId="7" applyFill="1" applyBorder="1" applyAlignment="1" applyProtection="1">
      <alignment horizontal="left" vertical="top" wrapText="1"/>
      <protection locked="0"/>
    </xf>
    <xf numFmtId="0" fontId="23" fillId="0" borderId="7" xfId="7" applyFill="1" applyBorder="1" applyAlignment="1" applyProtection="1">
      <alignment horizontal="left" vertical="top" wrapText="1"/>
      <protection locked="0"/>
    </xf>
    <xf numFmtId="0" fontId="23" fillId="27" borderId="37" xfId="7" applyFill="1" applyBorder="1" applyAlignment="1" applyProtection="1">
      <alignment horizontal="center"/>
      <protection locked="0"/>
    </xf>
    <xf numFmtId="0" fontId="23" fillId="27" borderId="44" xfId="7" applyFill="1" applyBorder="1" applyAlignment="1" applyProtection="1">
      <alignment horizontal="center"/>
      <protection locked="0"/>
    </xf>
    <xf numFmtId="0" fontId="23" fillId="27" borderId="49" xfId="7" applyFill="1" applyBorder="1" applyAlignment="1" applyProtection="1">
      <alignment horizontal="center"/>
      <protection locked="0"/>
    </xf>
    <xf numFmtId="0" fontId="7" fillId="27" borderId="37" xfId="7" applyFont="1" applyFill="1" applyBorder="1" applyAlignment="1" applyProtection="1">
      <alignment horizontal="center" vertical="center"/>
      <protection locked="0"/>
    </xf>
    <xf numFmtId="0" fontId="7" fillId="27" borderId="44" xfId="7" applyFont="1" applyFill="1" applyBorder="1" applyAlignment="1" applyProtection="1">
      <alignment horizontal="center" vertical="center"/>
      <protection locked="0"/>
    </xf>
    <xf numFmtId="0" fontId="7" fillId="27" borderId="49" xfId="7" applyFont="1" applyFill="1" applyBorder="1" applyAlignment="1" applyProtection="1">
      <alignment horizontal="center" vertical="center"/>
      <protection locked="0"/>
    </xf>
    <xf numFmtId="0" fontId="0" fillId="8" borderId="37" xfId="0" applyFill="1" applyBorder="1" applyAlignment="1" applyProtection="1">
      <alignment horizontal="center"/>
    </xf>
    <xf numFmtId="0" fontId="0" fillId="8" borderId="49" xfId="0" applyFill="1" applyBorder="1" applyAlignment="1" applyProtection="1">
      <alignment horizontal="center"/>
    </xf>
    <xf numFmtId="0" fontId="0" fillId="8" borderId="0" xfId="0" applyFill="1" applyBorder="1" applyAlignment="1" applyProtection="1">
      <alignment horizontal="left"/>
    </xf>
    <xf numFmtId="0" fontId="0" fillId="8" borderId="0" xfId="0" applyFill="1" applyBorder="1" applyAlignment="1" applyProtection="1">
      <alignment horizontal="center"/>
    </xf>
    <xf numFmtId="0" fontId="0" fillId="8" borderId="53" xfId="0" applyFill="1" applyBorder="1" applyAlignment="1" applyProtection="1">
      <alignment horizontal="center"/>
    </xf>
    <xf numFmtId="0" fontId="0" fillId="8" borderId="9" xfId="0" applyFill="1" applyBorder="1" applyAlignment="1" applyProtection="1">
      <alignment horizontal="center"/>
    </xf>
    <xf numFmtId="167" fontId="36" fillId="8" borderId="8" xfId="1" applyNumberFormat="1" applyFont="1" applyFill="1" applyBorder="1" applyAlignment="1" applyProtection="1">
      <alignment horizontal="center" vertical="top" wrapText="1"/>
    </xf>
    <xf numFmtId="0" fontId="0" fillId="8" borderId="0" xfId="0" applyFill="1" applyBorder="1" applyAlignment="1" applyProtection="1">
      <alignment horizontal="left" vertical="top" wrapText="1"/>
    </xf>
    <xf numFmtId="49" fontId="1" fillId="12" borderId="10" xfId="0" applyNumberFormat="1" applyFont="1" applyFill="1" applyBorder="1" applyAlignment="1">
      <alignment horizontal="right" vertical="center" wrapText="1"/>
    </xf>
    <xf numFmtId="49" fontId="1" fillId="12" borderId="22" xfId="0" applyNumberFormat="1" applyFont="1" applyFill="1" applyBorder="1" applyAlignment="1">
      <alignment horizontal="right" vertical="center" wrapText="1"/>
    </xf>
    <xf numFmtId="49" fontId="1" fillId="12" borderId="11" xfId="0" applyNumberFormat="1" applyFont="1" applyFill="1" applyBorder="1" applyAlignment="1">
      <alignment horizontal="right"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8" xfId="0" applyFont="1" applyBorder="1" applyAlignment="1">
      <alignment horizontal="center" vertical="center"/>
    </xf>
    <xf numFmtId="49" fontId="1" fillId="12" borderId="10" xfId="0" applyNumberFormat="1" applyFont="1" applyFill="1" applyBorder="1" applyAlignment="1">
      <alignment horizontal="right" vertical="center"/>
    </xf>
    <xf numFmtId="49" fontId="1" fillId="12" borderId="11" xfId="0" applyNumberFormat="1" applyFont="1" applyFill="1" applyBorder="1" applyAlignment="1">
      <alignment horizontal="right" vertical="center"/>
    </xf>
    <xf numFmtId="0" fontId="1" fillId="9" borderId="10" xfId="0" applyFont="1" applyFill="1" applyBorder="1" applyAlignment="1">
      <alignment horizontal="right" vertical="center"/>
    </xf>
    <xf numFmtId="0" fontId="1" fillId="9" borderId="11" xfId="0" applyFont="1" applyFill="1" applyBorder="1" applyAlignment="1">
      <alignment horizontal="right" vertical="center"/>
    </xf>
    <xf numFmtId="49" fontId="1" fillId="14" borderId="10" xfId="0" applyNumberFormat="1" applyFont="1" applyFill="1" applyBorder="1" applyAlignment="1">
      <alignment horizontal="right" vertical="center"/>
    </xf>
    <xf numFmtId="49" fontId="1" fillId="14" borderId="11" xfId="0" applyNumberFormat="1" applyFont="1" applyFill="1" applyBorder="1" applyAlignment="1">
      <alignment horizontal="right" vertical="center"/>
    </xf>
    <xf numFmtId="49" fontId="1" fillId="16" borderId="10" xfId="0" applyNumberFormat="1" applyFont="1" applyFill="1" applyBorder="1" applyAlignment="1">
      <alignment horizontal="right" vertical="center"/>
    </xf>
    <xf numFmtId="49" fontId="1" fillId="16" borderId="11" xfId="0" applyNumberFormat="1" applyFont="1" applyFill="1" applyBorder="1" applyAlignment="1">
      <alignment horizontal="right" vertical="center"/>
    </xf>
    <xf numFmtId="49" fontId="1" fillId="16" borderId="10" xfId="0" applyNumberFormat="1" applyFont="1" applyFill="1" applyBorder="1" applyAlignment="1">
      <alignment horizontal="right" vertical="center" wrapText="1"/>
    </xf>
    <xf numFmtId="49" fontId="3" fillId="28" borderId="61" xfId="5" applyNumberFormat="1" applyFont="1" applyFill="1" applyBorder="1" applyAlignment="1">
      <alignment horizontal="center" vertical="center" wrapText="1"/>
    </xf>
    <xf numFmtId="49" fontId="3" fillId="28" borderId="44" xfId="5" applyNumberFormat="1" applyFont="1" applyFill="1" applyBorder="1" applyAlignment="1">
      <alignment horizontal="center" vertical="center" wrapText="1"/>
    </xf>
    <xf numFmtId="49" fontId="3" fillId="28" borderId="50" xfId="5" applyNumberFormat="1" applyFont="1" applyFill="1" applyBorder="1" applyAlignment="1">
      <alignment horizontal="center" vertical="center" wrapText="1"/>
    </xf>
    <xf numFmtId="0" fontId="0" fillId="15" borderId="37" xfId="0" applyFill="1" applyBorder="1" applyAlignment="1">
      <alignment horizontal="center" vertical="top" wrapText="1"/>
    </xf>
    <xf numFmtId="0" fontId="0" fillId="15" borderId="49" xfId="0" applyFill="1" applyBorder="1" applyAlignment="1">
      <alignment horizontal="center" vertical="top" wrapText="1"/>
    </xf>
    <xf numFmtId="0" fontId="0" fillId="26" borderId="37" xfId="0" applyFill="1" applyBorder="1" applyAlignment="1">
      <alignment horizontal="center"/>
    </xf>
    <xf numFmtId="0" fontId="0" fillId="26" borderId="44" xfId="0" applyFill="1" applyBorder="1" applyAlignment="1">
      <alignment horizontal="center"/>
    </xf>
    <xf numFmtId="0" fontId="0" fillId="15" borderId="37" xfId="0" applyFill="1" applyBorder="1" applyAlignment="1">
      <alignment horizontal="center"/>
    </xf>
    <xf numFmtId="0" fontId="0" fillId="15" borderId="49" xfId="0" applyFill="1" applyBorder="1" applyAlignment="1">
      <alignment horizontal="center"/>
    </xf>
    <xf numFmtId="0" fontId="0" fillId="15" borderId="6" xfId="0" applyFill="1" applyBorder="1" applyAlignment="1">
      <alignment horizontal="center" vertical="top" wrapText="1"/>
    </xf>
    <xf numFmtId="0" fontId="51" fillId="20" borderId="0" xfId="0" applyFont="1" applyFill="1" applyAlignment="1">
      <alignment horizontal="left" vertical="center" wrapText="1"/>
    </xf>
    <xf numFmtId="0" fontId="76" fillId="20" borderId="10" xfId="0" applyFont="1" applyFill="1" applyBorder="1" applyAlignment="1">
      <alignment horizontal="center" vertical="center"/>
    </xf>
    <xf numFmtId="0" fontId="76" fillId="20" borderId="22" xfId="0" applyFont="1" applyFill="1" applyBorder="1" applyAlignment="1">
      <alignment horizontal="center" vertical="center"/>
    </xf>
    <xf numFmtId="0" fontId="76" fillId="20" borderId="24" xfId="0" applyFont="1" applyFill="1" applyBorder="1" applyAlignment="1">
      <alignment horizontal="center" vertical="center"/>
    </xf>
    <xf numFmtId="0" fontId="76" fillId="31" borderId="39" xfId="0" applyFont="1" applyFill="1" applyBorder="1" applyAlignment="1">
      <alignment horizontal="center"/>
    </xf>
    <xf numFmtId="0" fontId="76" fillId="31" borderId="40" xfId="0" applyFont="1" applyFill="1" applyBorder="1" applyAlignment="1">
      <alignment horizontal="center"/>
    </xf>
    <xf numFmtId="0" fontId="76" fillId="31" borderId="0" xfId="0" applyFont="1" applyFill="1" applyBorder="1" applyAlignment="1">
      <alignment horizontal="center"/>
    </xf>
    <xf numFmtId="0" fontId="76" fillId="31" borderId="21" xfId="0" applyFont="1" applyFill="1" applyBorder="1" applyAlignment="1">
      <alignment horizontal="center"/>
    </xf>
  </cellXfs>
  <cellStyles count="9">
    <cellStyle name="Komma" xfId="1" builtinId="3"/>
    <cellStyle name="Link" xfId="2" builtinId="8"/>
    <cellStyle name="Prozent" xfId="3" builtinId="5"/>
    <cellStyle name="Prozent 2" xfId="4"/>
    <cellStyle name="Standard" xfId="0" builtinId="0"/>
    <cellStyle name="Standard 2" xfId="5"/>
    <cellStyle name="Standard 3" xfId="6"/>
    <cellStyle name="Standard 4" xfId="7"/>
    <cellStyle name="Währung" xfId="8" builtinId="4"/>
  </cellStyles>
  <dxfs count="103">
    <dxf>
      <fill>
        <patternFill>
          <bgColor theme="0" tint="-0.34998626667073579"/>
        </patternFill>
      </fill>
    </dxf>
    <dxf>
      <fill>
        <patternFill>
          <bgColor theme="0" tint="-0.34998626667073579"/>
        </patternFill>
      </fill>
    </dxf>
    <dxf>
      <font>
        <color rgb="FFFFFF99"/>
      </font>
      <fill>
        <patternFill>
          <bgColor rgb="FFFFFF99"/>
        </patternFill>
      </fill>
      <border>
        <left/>
        <right/>
        <top/>
        <bottom/>
      </border>
    </dxf>
    <dxf>
      <font>
        <color rgb="FFFFFF99"/>
      </font>
      <fill>
        <patternFill>
          <bgColor rgb="FFFFFF99"/>
        </patternFill>
      </fill>
      <border>
        <left/>
        <right/>
        <top/>
        <bottom/>
      </border>
    </dxf>
    <dxf>
      <font>
        <color rgb="FFFFFF99"/>
      </font>
      <fill>
        <patternFill>
          <bgColor rgb="FFFFFF99"/>
        </patternFill>
      </fill>
      <border>
        <left/>
        <right/>
        <top/>
        <bottom/>
      </border>
    </dxf>
    <dxf>
      <font>
        <b val="0"/>
        <condense val="0"/>
        <extend val="0"/>
        <color indexed="8"/>
      </font>
    </dxf>
    <dxf>
      <font>
        <b val="0"/>
        <condense val="0"/>
        <extend val="0"/>
        <color indexed="8"/>
      </font>
    </dxf>
    <dxf>
      <fill>
        <patternFill>
          <bgColor theme="5" tint="0.39994506668294322"/>
        </patternFill>
      </fill>
    </dxf>
    <dxf>
      <font>
        <b/>
        <i val="0"/>
        <color rgb="FFC00000"/>
      </font>
    </dxf>
    <dxf>
      <font>
        <color rgb="FFFFFF00"/>
      </font>
      <fill>
        <patternFill>
          <bgColor rgb="FFFF0000"/>
        </patternFill>
      </fill>
    </dxf>
    <dxf>
      <font>
        <color rgb="FFFF0000"/>
      </font>
      <fill>
        <patternFill>
          <bgColor rgb="FFFFFF00"/>
        </patternFill>
      </fill>
    </dxf>
    <dxf>
      <font>
        <color rgb="FFFFFF00"/>
      </font>
      <fill>
        <patternFill>
          <bgColor rgb="FFFF0000"/>
        </patternFill>
      </fill>
      <border>
        <left style="thin">
          <color rgb="FFFFFF00"/>
        </left>
        <right style="thin">
          <color rgb="FFFFFF00"/>
        </right>
        <top style="thin">
          <color rgb="FFFFFF00"/>
        </top>
        <bottom style="thin">
          <color rgb="FFFFFF00"/>
        </bottom>
        <vertical/>
        <horizontal/>
      </border>
    </dxf>
    <dxf>
      <font>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CCFFCC"/>
        </patternFill>
      </fill>
      <border>
        <left style="thin">
          <color rgb="FFCCFFCC"/>
        </left>
        <right style="thin">
          <color rgb="FFCCFFCC"/>
        </right>
        <top style="thin">
          <color rgb="FFCCFFCC"/>
        </top>
        <bottom style="thin">
          <color rgb="FFCCFFCC"/>
        </bottom>
      </border>
    </dxf>
    <dxf>
      <font>
        <color theme="6" tint="0.79998168889431442"/>
      </font>
      <fill>
        <patternFill>
          <bgColor theme="6" tint="0.79998168889431442"/>
        </patternFill>
      </fill>
      <border>
        <left/>
        <right/>
        <top/>
        <bottom/>
        <vertical/>
        <horizontal/>
      </border>
    </dxf>
    <dxf>
      <font>
        <color rgb="FFFFFFCC"/>
      </font>
    </dxf>
    <dxf>
      <font>
        <color theme="6" tint="0.79998168889431442"/>
      </font>
      <fill>
        <patternFill>
          <bgColor theme="6" tint="0.79998168889431442"/>
        </patternFill>
      </fill>
      <border>
        <left/>
        <right/>
        <top/>
        <bottom/>
        <vertical/>
        <horizontal/>
      </border>
    </dxf>
    <dxf>
      <font>
        <color theme="6" tint="0.79998168889431442"/>
      </font>
    </dxf>
    <dxf>
      <font>
        <color theme="6" tint="0.79998168889431442"/>
      </font>
    </dxf>
    <dxf>
      <font>
        <color theme="6" tint="0.79998168889431442"/>
      </font>
    </dxf>
    <dxf>
      <font>
        <color theme="6" tint="0.79998168889431442"/>
      </font>
    </dxf>
    <dxf>
      <font>
        <color rgb="FFFFFFCC"/>
      </font>
    </dxf>
    <dxf>
      <font>
        <color theme="0" tint="-0.24994659260841701"/>
      </font>
      <fill>
        <patternFill>
          <bgColor rgb="FFCCFFCC"/>
        </patternFill>
      </fill>
      <border>
        <left/>
        <right/>
        <top/>
        <bottom/>
        <vertical/>
        <horizontal/>
      </border>
    </dxf>
    <dxf>
      <fill>
        <patternFill>
          <bgColor theme="5" tint="0.59996337778862885"/>
        </patternFill>
      </fill>
      <border>
        <left style="thin">
          <color auto="1"/>
        </left>
        <right style="thin">
          <color auto="1"/>
        </right>
        <top style="thin">
          <color auto="1"/>
        </top>
        <bottom style="thin">
          <color auto="1"/>
        </bottom>
      </border>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tint="-0.24994659260841701"/>
      </font>
      <fill>
        <patternFill>
          <bgColor rgb="FFCCFFCC"/>
        </patternFill>
      </fill>
      <border>
        <left/>
        <right/>
        <top/>
        <bottom/>
        <vertical/>
        <horizontal/>
      </border>
    </dxf>
    <dxf>
      <font>
        <color theme="4" tint="-0.24994659260841701"/>
      </font>
      <fill>
        <patternFill>
          <bgColor theme="5" tint="0.59996337778862885"/>
        </patternFill>
      </fill>
      <border>
        <left style="thin">
          <color auto="1"/>
        </left>
        <right style="thin">
          <color auto="1"/>
        </right>
        <top style="thin">
          <color auto="1"/>
        </top>
        <bottom style="thin">
          <color auto="1"/>
        </bottom>
      </border>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border>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theme="0"/>
        </patternFill>
      </fill>
      <border>
        <left style="thin">
          <color auto="1"/>
        </left>
        <right style="thin">
          <color auto="1"/>
        </right>
        <top style="thin">
          <color auto="1"/>
        </top>
        <bottom style="thin">
          <color auto="1"/>
        </bottom>
      </border>
    </dxf>
    <dxf>
      <font>
        <color theme="0" tint="-0.24994659260841701"/>
      </font>
      <fill>
        <patternFill>
          <bgColor rgb="FFCCFFCC"/>
        </patternFill>
      </fill>
      <border>
        <left/>
        <right/>
        <top/>
        <bottom/>
        <vertical/>
        <horizontal/>
      </border>
    </dxf>
    <dxf>
      <fill>
        <patternFill>
          <bgColor theme="4" tint="0.79998168889431442"/>
        </patternFill>
      </fill>
    </dxf>
    <dxf>
      <fill>
        <patternFill>
          <bgColor rgb="FFFFFFCC"/>
        </patternFill>
      </fill>
    </dxf>
    <dxf>
      <fill>
        <patternFill>
          <bgColor theme="5" tint="0.79998168889431442"/>
        </patternFill>
      </fill>
    </dxf>
    <dxf>
      <font>
        <color theme="4" tint="0.79998168889431442"/>
      </font>
    </dxf>
    <dxf>
      <font>
        <color theme="4" tint="0.79998168889431442"/>
      </font>
    </dxf>
    <dxf>
      <font>
        <color theme="0" tint="-0.24994659260841701"/>
      </font>
      <fill>
        <patternFill>
          <bgColor rgb="FFCCFFCC"/>
        </patternFill>
      </fill>
      <border>
        <left/>
        <right/>
        <top/>
        <bottom/>
        <vertical/>
        <horizontal/>
      </border>
    </dxf>
    <dxf>
      <font>
        <color theme="0" tint="-0.24994659260841701"/>
      </font>
      <fill>
        <patternFill>
          <bgColor rgb="FFCCFFCC"/>
        </patternFill>
      </fill>
      <border>
        <left/>
        <right/>
        <top/>
        <bottom/>
        <vertical/>
        <horizontal/>
      </border>
    </dxf>
    <dxf>
      <font>
        <color theme="0" tint="-0.24994659260841701"/>
      </font>
    </dxf>
    <dxf>
      <font>
        <color theme="4" tint="-0.24994659260841701"/>
      </font>
      <fill>
        <patternFill>
          <bgColor theme="5" tint="0.59996337778862885"/>
        </patternFill>
      </fill>
      <border>
        <left style="thin">
          <color auto="1"/>
        </left>
        <right style="thin">
          <color auto="1"/>
        </right>
        <top style="thin">
          <color auto="1"/>
        </top>
        <bottom style="thin">
          <color auto="1"/>
        </bottom>
      </border>
    </dxf>
    <dxf>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border>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4" tint="-0.24994659260841701"/>
      </font>
      <fill>
        <patternFill>
          <bgColor theme="5" tint="0.59996337778862885"/>
        </patternFill>
      </fill>
    </dxf>
    <dxf>
      <fill>
        <patternFill>
          <bgColor theme="5" tint="0.59996337778862885"/>
        </patternFill>
      </fill>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tint="-0.24994659260841701"/>
      </font>
      <fill>
        <patternFill>
          <bgColor rgb="FFCCFFCC"/>
        </patternFill>
      </fill>
      <border>
        <left/>
        <right/>
        <top/>
        <bottom/>
        <vertical/>
        <horizontal/>
      </border>
    </dxf>
    <dxf>
      <font>
        <color rgb="FFCCFFCC"/>
      </font>
      <fill>
        <patternFill>
          <bgColor rgb="FFCCFFCC"/>
        </patternFill>
      </fill>
      <border>
        <left/>
        <right/>
        <top/>
        <bottom/>
        <vertical/>
        <horizontal/>
      </border>
    </dxf>
    <dxf>
      <font>
        <color rgb="FFCCFFCC"/>
      </font>
      <fill>
        <patternFill patternType="solid">
          <bgColor rgb="FFCCFFCC"/>
        </patternFill>
      </fill>
      <border>
        <left/>
        <right/>
        <top/>
        <bottom/>
      </border>
    </dxf>
    <dxf>
      <font>
        <color rgb="FFFFFFCC"/>
      </font>
      <fill>
        <patternFill>
          <bgColor rgb="FFFFFFCC"/>
        </patternFill>
      </fill>
    </dxf>
    <dxf>
      <font>
        <color theme="4" tint="0.79998168889431442"/>
      </font>
    </dxf>
    <dxf>
      <font>
        <color theme="4" tint="0.79998168889431442"/>
      </font>
      <fill>
        <patternFill>
          <bgColor theme="4" tint="0.79998168889431442"/>
        </patternFill>
      </fill>
      <border>
        <left/>
        <right/>
        <top/>
        <bottom/>
        <vertical/>
        <horizontal/>
      </border>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tint="-0.24994659260841701"/>
      </font>
      <fill>
        <patternFill>
          <bgColor rgb="FFCCFFCC"/>
        </patternFill>
      </fill>
      <border>
        <left/>
        <right/>
        <top/>
        <bottom/>
        <vertical/>
        <horizontal/>
      </border>
    </dxf>
    <dxf>
      <font>
        <color theme="5" tint="0.59996337778862885"/>
      </font>
      <fill>
        <patternFill>
          <bgColor theme="5" tint="0.59996337778862885"/>
        </patternFill>
      </fill>
      <border>
        <left style="thin">
          <color theme="1"/>
        </left>
        <right style="thin">
          <color theme="1"/>
        </right>
        <top style="thin">
          <color theme="1"/>
        </top>
        <bottom style="thin">
          <color theme="1"/>
        </bottom>
        <vertical/>
        <horizontal/>
      </border>
    </dxf>
    <dxf>
      <font>
        <color theme="5" tint="0.59996337778862885"/>
      </font>
      <fill>
        <patternFill>
          <bgColor theme="5" tint="0.59996337778862885"/>
        </patternFill>
      </fill>
      <border>
        <left style="thin">
          <color auto="1"/>
        </left>
        <right style="thin">
          <color auto="1"/>
        </right>
        <top style="thin">
          <color auto="1"/>
        </top>
        <bottom style="thin">
          <color auto="1"/>
        </bottom>
      </border>
    </dxf>
    <dxf>
      <font>
        <color theme="4" tint="0.79998168889431442"/>
      </font>
    </dxf>
    <dxf>
      <font>
        <color theme="4" tint="0.79998168889431442"/>
      </font>
    </dxf>
    <dxf>
      <font>
        <color theme="4" tint="0.79998168889431442"/>
      </font>
    </dxf>
    <dxf>
      <font>
        <color rgb="FFFFFFCC"/>
      </font>
      <fill>
        <patternFill>
          <bgColor rgb="FFFFFFCC"/>
        </patternFill>
      </fill>
      <border>
        <left/>
        <right/>
        <top/>
        <bottom/>
        <vertical/>
        <horizontal/>
      </border>
    </dxf>
    <dxf>
      <font>
        <color theme="5" tint="0.79998168889431442"/>
      </font>
      <fill>
        <patternFill>
          <bgColor theme="5"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24994659260841701"/>
      </font>
      <fill>
        <patternFill>
          <bgColor theme="0"/>
        </patternFill>
      </fill>
      <border>
        <left style="thin">
          <color auto="1"/>
        </left>
        <right style="thin">
          <color auto="1"/>
        </right>
        <top style="thin">
          <color auto="1"/>
        </top>
        <bottom style="thin">
          <color auto="1"/>
        </bottom>
        <vertical/>
        <horizontal/>
      </border>
    </dxf>
    <dxf>
      <font>
        <color theme="0" tint="-0.24994659260841701"/>
      </font>
      <fill>
        <patternFill>
          <bgColor rgb="FFCCFFCC"/>
        </patternFill>
      </fill>
      <border>
        <left/>
        <right/>
        <top/>
        <bottom/>
        <vertical/>
        <horizontal/>
      </border>
    </dxf>
    <dxf>
      <font>
        <color theme="0" tint="-0.24994659260841701"/>
      </font>
      <fill>
        <patternFill>
          <bgColor rgb="FFCCFFCC"/>
        </patternFill>
      </fill>
      <border>
        <left/>
        <right/>
        <top/>
        <bottom/>
        <vertical/>
        <horizontal/>
      </border>
    </dxf>
    <dxf>
      <font>
        <color theme="0" tint="-0.24994659260841701"/>
      </font>
      <fill>
        <patternFill>
          <bgColor rgb="FFCCFFCC"/>
        </patternFill>
      </fill>
      <border>
        <left/>
        <right/>
        <top/>
        <bottom/>
        <vertical/>
        <horizontal/>
      </border>
    </dxf>
    <dxf>
      <font>
        <color theme="0" tint="-0.24994659260841701"/>
      </font>
      <fill>
        <patternFill>
          <bgColor rgb="FFCCFFCC"/>
        </patternFill>
      </fill>
      <border>
        <left/>
        <right/>
        <top/>
        <bottom/>
        <vertical/>
        <horizontal/>
      </border>
    </dxf>
    <dxf>
      <font>
        <color theme="0" tint="-0.24994659260841701"/>
      </font>
      <fill>
        <patternFill>
          <bgColor rgb="FFCCFFCC"/>
        </patternFill>
      </fill>
      <border>
        <left/>
        <right/>
        <top/>
        <bottom/>
        <vertical/>
        <horizontal/>
      </border>
    </dxf>
    <dxf>
      <font>
        <color theme="0" tint="-0.24994659260841701"/>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tint="-0.24994659260841701"/>
      </font>
      <fill>
        <patternFill>
          <bgColor rgb="FFCCFFCC"/>
        </patternFill>
      </fill>
      <border>
        <left/>
        <right/>
        <top/>
        <bottom/>
        <vertical/>
        <horizontal/>
      </border>
    </dxf>
    <dxf>
      <font>
        <color theme="0" tint="-0.24994659260841701"/>
      </font>
      <fill>
        <patternFill>
          <bgColor rgb="FFCCFFCC"/>
        </patternFill>
      </fill>
      <border>
        <left/>
        <right/>
        <top/>
        <bottom/>
        <vertical/>
        <horizontal/>
      </border>
    </dxf>
    <dxf>
      <font>
        <color theme="0" tint="-0.24994659260841701"/>
      </font>
      <fill>
        <patternFill>
          <bgColor rgb="FFCCFFCC"/>
        </patternFill>
      </fill>
      <border>
        <left/>
        <right/>
        <top/>
        <bottom/>
        <vertical/>
        <horizontal/>
      </border>
    </dxf>
    <dxf>
      <fill>
        <patternFill>
          <bgColor theme="5" tint="0.59996337778862885"/>
        </patternFill>
      </fill>
      <border>
        <left style="thin">
          <color auto="1"/>
        </left>
        <right style="thin">
          <color auto="1"/>
        </right>
        <top style="thin">
          <color auto="1"/>
        </top>
        <bottom style="thin">
          <color auto="1"/>
        </bottom>
      </border>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theme="5" tint="0.59996337778862885"/>
        </patternFill>
      </fill>
    </dxf>
    <dxf>
      <font>
        <color rgb="FFCCFFCC"/>
      </font>
      <fill>
        <patternFill>
          <bgColor rgb="FFCCFFCC"/>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4" tint="-0.24994659260841701"/>
        <name val="Cambria"/>
        <scheme val="none"/>
      </font>
      <fill>
        <patternFill>
          <bgColor theme="5" tint="0.59996337778862885"/>
        </patternFill>
      </fill>
    </dxf>
    <dxf>
      <font>
        <color rgb="FFCCFFCC"/>
      </font>
      <fill>
        <patternFill>
          <bgColor rgb="FFCCFFCC"/>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3"/>
      </font>
      <fill>
        <patternFill patternType="none">
          <bgColor indexed="65"/>
        </patternFill>
      </fill>
    </dxf>
    <dxf>
      <font>
        <color theme="4" tint="-0.24994659260841701"/>
        <name val="Cambria"/>
        <scheme val="none"/>
      </font>
      <fill>
        <patternFill>
          <bgColor theme="5" tint="0.59996337778862885"/>
        </patternFill>
      </fill>
    </dxf>
    <dxf>
      <font>
        <color rgb="FFCCFFCC"/>
      </font>
      <fill>
        <patternFill>
          <bgColor rgb="FFCCFFCC"/>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3"/>
      </font>
      <fill>
        <patternFill patternType="none">
          <bgColor indexed="65"/>
        </patternFill>
      </fill>
    </dxf>
    <dxf>
      <font>
        <color theme="4" tint="-0.499984740745262"/>
      </font>
      <fill>
        <patternFill>
          <bgColor theme="5" tint="0.59996337778862885"/>
        </patternFill>
      </fill>
    </dxf>
    <dxf>
      <font>
        <color theme="0" tint="-0.34998626667073579"/>
      </font>
    </dxf>
    <dxf>
      <font>
        <color theme="0" tint="-0.34998626667073579"/>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99"/>
      </font>
    </dxf>
  </dxfs>
  <tableStyles count="0" defaultTableStyle="TableStyleMedium9" defaultPivotStyle="PivotStyleLight16"/>
  <colors>
    <mruColors>
      <color rgb="FFCCFFCC"/>
      <color rgb="FFCCFF99"/>
      <color rgb="FFFFCCCC"/>
      <color rgb="FFFFFFCC"/>
      <color rgb="FFFFFF99"/>
      <color rgb="FFFFCC66"/>
      <color rgb="FFCCFF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Verweise zu GAA und BRW und VW'!A1"/></Relationships>
</file>

<file path=xl/drawings/_rels/drawing2.xml.rels><?xml version="1.0" encoding="UTF-8" standalone="yes"?>
<Relationships xmlns="http://schemas.openxmlformats.org/package/2006/relationships"><Relationship Id="rId1" Type="http://schemas.openxmlformats.org/officeDocument/2006/relationships/hyperlink" Target="#KPA!A1"/></Relationships>
</file>

<file path=xl/drawings/drawing1.xml><?xml version="1.0" encoding="utf-8"?>
<xdr:wsDr xmlns:xdr="http://schemas.openxmlformats.org/drawingml/2006/spreadsheetDrawing" xmlns:a="http://schemas.openxmlformats.org/drawingml/2006/main">
  <xdr:twoCellAnchor>
    <xdr:from>
      <xdr:col>6</xdr:col>
      <xdr:colOff>755197</xdr:colOff>
      <xdr:row>112</xdr:row>
      <xdr:rowOff>0</xdr:rowOff>
    </xdr:from>
    <xdr:to>
      <xdr:col>9</xdr:col>
      <xdr:colOff>574222</xdr:colOff>
      <xdr:row>120</xdr:row>
      <xdr:rowOff>0</xdr:rowOff>
    </xdr:to>
    <xdr:grpSp>
      <xdr:nvGrpSpPr>
        <xdr:cNvPr id="11707" name="Gruppieren 2">
          <a:extLst>
            <a:ext uri="{FF2B5EF4-FFF2-40B4-BE49-F238E27FC236}">
              <a16:creationId xmlns:a16="http://schemas.microsoft.com/office/drawing/2014/main" id="{00000000-0008-0000-0000-0000BB2D0000}"/>
            </a:ext>
          </a:extLst>
        </xdr:cNvPr>
        <xdr:cNvGrpSpPr>
          <a:grpSpLocks/>
        </xdr:cNvGrpSpPr>
      </xdr:nvGrpSpPr>
      <xdr:grpSpPr bwMode="auto">
        <a:xfrm>
          <a:off x="4553925" y="15527441"/>
          <a:ext cx="1611303" cy="1313210"/>
          <a:chOff x="2859126" y="6571611"/>
          <a:chExt cx="1460500" cy="939800"/>
        </a:xfrm>
      </xdr:grpSpPr>
      <xdr:sp macro="" textlink="">
        <xdr:nvSpPr>
          <xdr:cNvPr id="2" name="Gestreifter Pfeil nach rechts 1">
            <a:extLst>
              <a:ext uri="{FF2B5EF4-FFF2-40B4-BE49-F238E27FC236}">
                <a16:creationId xmlns:a16="http://schemas.microsoft.com/office/drawing/2014/main" id="{00000000-0008-0000-0000-000002000000}"/>
              </a:ext>
            </a:extLst>
          </xdr:cNvPr>
          <xdr:cNvSpPr/>
        </xdr:nvSpPr>
        <xdr:spPr>
          <a:xfrm>
            <a:off x="2859126" y="6571611"/>
            <a:ext cx="1460500" cy="939800"/>
          </a:xfrm>
          <a:prstGeom prst="stripedRightArrow">
            <a:avLst/>
          </a:prstGeom>
          <a:solidFill>
            <a:srgbClr val="FFCC66"/>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sp macro="" textlink="">
        <xdr:nvSpPr>
          <xdr:cNvPr id="7169" name="Text Box 1">
            <a:extLst>
              <a:ext uri="{FF2B5EF4-FFF2-40B4-BE49-F238E27FC236}">
                <a16:creationId xmlns:a16="http://schemas.microsoft.com/office/drawing/2014/main" id="{00000000-0008-0000-0000-0000011C0000}"/>
              </a:ext>
            </a:extLst>
          </xdr:cNvPr>
          <xdr:cNvSpPr txBox="1">
            <a:spLocks noChangeArrowheads="1"/>
          </xdr:cNvSpPr>
        </xdr:nvSpPr>
        <xdr:spPr bwMode="auto">
          <a:xfrm>
            <a:off x="3050998" y="6818178"/>
            <a:ext cx="1148927" cy="433125"/>
          </a:xfrm>
          <a:prstGeom prst="rect">
            <a:avLst/>
          </a:prstGeom>
          <a:noFill/>
          <a:ln w="9525">
            <a:noFill/>
            <a:miter lim="800000"/>
            <a:headEnd/>
            <a:tailEnd/>
          </a:ln>
        </xdr:spPr>
        <xdr:txBody>
          <a:bodyPr vertOverflow="clip" wrap="square" lIns="36576" tIns="27432" rIns="0" bIns="0" anchor="ctr" upright="1"/>
          <a:lstStyle/>
          <a:p>
            <a:pPr algn="l" rtl="0">
              <a:lnSpc>
                <a:spcPts val="900"/>
              </a:lnSpc>
              <a:defRPr sz="1000"/>
            </a:pPr>
            <a:r>
              <a:rPr lang="de-DE" sz="800" b="0" i="0" u="none" strike="noStrike" baseline="0">
                <a:solidFill>
                  <a:srgbClr val="000000"/>
                </a:solidFill>
                <a:latin typeface="Arial"/>
                <a:cs typeface="Arial"/>
              </a:rPr>
              <a:t>Übertragung des Verhältnisses der ermittelten Einzelwerte</a:t>
            </a:r>
          </a:p>
          <a:p>
            <a:pPr algn="l" rtl="0">
              <a:defRPr sz="1000"/>
            </a:pPr>
            <a:r>
              <a:rPr lang="de-DE" sz="800" b="0" i="0" u="none" strike="noStrike" baseline="0">
                <a:solidFill>
                  <a:srgbClr val="000000"/>
                </a:solidFill>
                <a:latin typeface="Arial"/>
                <a:cs typeface="Arial"/>
              </a:rPr>
              <a:t>auf den Kaufpreis</a:t>
            </a:r>
          </a:p>
        </xdr:txBody>
      </xdr:sp>
    </xdr:grpSp>
    <xdr:clientData/>
  </xdr:twoCellAnchor>
  <xdr:twoCellAnchor>
    <xdr:from>
      <xdr:col>9</xdr:col>
      <xdr:colOff>1002196</xdr:colOff>
      <xdr:row>15</xdr:row>
      <xdr:rowOff>41411</xdr:rowOff>
    </xdr:from>
    <xdr:to>
      <xdr:col>9</xdr:col>
      <xdr:colOff>1524000</xdr:colOff>
      <xdr:row>17</xdr:row>
      <xdr:rowOff>0</xdr:rowOff>
    </xdr:to>
    <xdr:sp macro="" textlink="">
      <xdr:nvSpPr>
        <xdr:cNvPr id="5" name="Ellips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6129131" y="1904998"/>
          <a:ext cx="521804" cy="173937"/>
        </a:xfrm>
        <a:prstGeom prst="ellipse">
          <a:avLst/>
        </a:prstGeom>
        <a:solidFill>
          <a:schemeClr val="accent1">
            <a:lumMod val="20000"/>
            <a:lumOff val="80000"/>
          </a:schemeClr>
        </a:solidFill>
        <a:ln>
          <a:noFill/>
        </a:ln>
        <a:scene3d>
          <a:camera prst="orthographicFront"/>
          <a:lightRig rig="threePt" dir="t"/>
        </a:scene3d>
        <a:sp3d contourW="12700">
          <a:bevelT w="152400" h="50800" prst="softRound"/>
          <a:bevelB/>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ysClr val="windowText" lastClr="000000"/>
              </a:solidFill>
            </a:rPr>
            <a:t>Link</a:t>
          </a:r>
        </a:p>
      </xdr:txBody>
    </xdr:sp>
    <xdr:clientData/>
  </xdr:twoCellAnchor>
  <xdr:twoCellAnchor>
    <xdr:from>
      <xdr:col>5</xdr:col>
      <xdr:colOff>339330</xdr:colOff>
      <xdr:row>25</xdr:row>
      <xdr:rowOff>135367</xdr:rowOff>
    </xdr:from>
    <xdr:to>
      <xdr:col>5</xdr:col>
      <xdr:colOff>785813</xdr:colOff>
      <xdr:row>27</xdr:row>
      <xdr:rowOff>101203</xdr:rowOff>
    </xdr:to>
    <xdr:sp macro="" textlink="">
      <xdr:nvSpPr>
        <xdr:cNvPr id="11" name="Ellipse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018236" y="3171461"/>
          <a:ext cx="446483" cy="186101"/>
        </a:xfrm>
        <a:prstGeom prst="ellipse">
          <a:avLst/>
        </a:prstGeom>
        <a:solidFill>
          <a:schemeClr val="accent1">
            <a:lumMod val="20000"/>
            <a:lumOff val="80000"/>
          </a:schemeClr>
        </a:solidFill>
        <a:ln>
          <a:noFill/>
        </a:ln>
        <a:scene3d>
          <a:camera prst="orthographicFront"/>
          <a:lightRig rig="threePt" dir="t"/>
        </a:scene3d>
        <a:sp3d contourW="12700">
          <a:bevelT w="152400" h="50800" prst="softRound"/>
          <a:bevelB/>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600">
              <a:solidFill>
                <a:sysClr val="windowText" lastClr="000000"/>
              </a:solidFill>
            </a:rPr>
            <a:t>Link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xdr:row>
      <xdr:rowOff>26670</xdr:rowOff>
    </xdr:from>
    <xdr:to>
      <xdr:col>1</xdr:col>
      <xdr:colOff>562222</xdr:colOff>
      <xdr:row>1</xdr:row>
      <xdr:rowOff>457613</xdr:rowOff>
    </xdr:to>
    <xdr:sp macro="" textlink="">
      <xdr:nvSpPr>
        <xdr:cNvPr id="2" name="Pfeil nach links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20980" y="236220"/>
          <a:ext cx="541020" cy="396240"/>
        </a:xfrm>
        <a:prstGeom prst="leftArrow">
          <a:avLst/>
        </a:prstGeom>
        <a:ln>
          <a:noFill/>
        </a:ln>
        <a:scene3d>
          <a:camera prst="orthographicFront"/>
          <a:lightRig rig="threePt" dir="t"/>
        </a:scene3d>
        <a:sp3d prstMaterial="dkEdge">
          <a:bevelT w="101600" prst="riblet"/>
          <a:bevelB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100"/>
            <a:t>KPA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hyperlink" Target="https://gutachterausschuesse.rlp.de/" TargetMode="External"/><Relationship Id="rId13" Type="http://schemas.openxmlformats.org/officeDocument/2006/relationships/hyperlink" Target="http://www.boris-bayern.de/" TargetMode="External"/><Relationship Id="rId18" Type="http://schemas.openxmlformats.org/officeDocument/2006/relationships/drawing" Target="../drawings/drawing2.xml"/><Relationship Id="rId3" Type="http://schemas.openxmlformats.org/officeDocument/2006/relationships/hyperlink" Target="http://www.gutachterausschuss.bremen.de/" TargetMode="External"/><Relationship Id="rId7" Type="http://schemas.openxmlformats.org/officeDocument/2006/relationships/hyperlink" Target="http://www.boris.nrw.de/" TargetMode="External"/><Relationship Id="rId12" Type="http://schemas.openxmlformats.org/officeDocument/2006/relationships/hyperlink" Target="http://www.geoportal-th.de/" TargetMode="External"/><Relationship Id="rId17" Type="http://schemas.openxmlformats.org/officeDocument/2006/relationships/printerSettings" Target="../printerSettings/printerSettings5.bin"/><Relationship Id="rId2" Type="http://schemas.openxmlformats.org/officeDocument/2006/relationships/hyperlink" Target="http://www.gutachterausschuss-bb.de/" TargetMode="External"/><Relationship Id="rId16" Type="http://schemas.openxmlformats.org/officeDocument/2006/relationships/hyperlink" Target="http://www.geoportal-mv.de/" TargetMode="External"/><Relationship Id="rId1" Type="http://schemas.openxmlformats.org/officeDocument/2006/relationships/hyperlink" Target="http://www.gutachterausschuss-berlin.de/" TargetMode="External"/><Relationship Id="rId6" Type="http://schemas.openxmlformats.org/officeDocument/2006/relationships/hyperlink" Target="http://www.gag.niedersachsen.de/" TargetMode="External"/><Relationship Id="rId11" Type="http://schemas.openxmlformats.org/officeDocument/2006/relationships/hyperlink" Target="http://www.gutachterausschuesse-sh.de/gutachter.html" TargetMode="External"/><Relationship Id="rId5" Type="http://schemas.openxmlformats.org/officeDocument/2006/relationships/hyperlink" Target="http://www.boris.hessen.de/" TargetMode="External"/><Relationship Id="rId15" Type="http://schemas.openxmlformats.org/officeDocument/2006/relationships/hyperlink" Target="http://www.zgg-bw.de/" TargetMode="External"/><Relationship Id="rId10" Type="http://schemas.openxmlformats.org/officeDocument/2006/relationships/hyperlink" Target="http://www.lvermgeo.sachsen-anhalt.de/" TargetMode="External"/><Relationship Id="rId4" Type="http://schemas.openxmlformats.org/officeDocument/2006/relationships/hyperlink" Target="http://www.geoportal-hamburg.de/boris" TargetMode="External"/><Relationship Id="rId9" Type="http://schemas.openxmlformats.org/officeDocument/2006/relationships/hyperlink" Target="https://geoportal.saarland.de/article/Bodenrichtwerte/" TargetMode="External"/><Relationship Id="rId14" Type="http://schemas.openxmlformats.org/officeDocument/2006/relationships/hyperlink" Target="http://www.boris.sachsen.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CCFFCC"/>
  </sheetPr>
  <dimension ref="A1:P1040"/>
  <sheetViews>
    <sheetView showGridLines="0" showRowColHeaders="0" tabSelected="1" showRuler="0" topLeftCell="B1" zoomScale="169" zoomScaleNormal="169" zoomScaleSheetLayoutView="160" zoomScalePageLayoutView="130" workbookViewId="0">
      <selection activeCell="J28" sqref="J28:K32"/>
    </sheetView>
  </sheetViews>
  <sheetFormatPr baseColWidth="10" defaultColWidth="11.5703125" defaultRowHeight="12.75" x14ac:dyDescent="0.2"/>
  <cols>
    <col min="1" max="1" width="11.85546875" style="371" hidden="1" customWidth="1"/>
    <col min="2" max="2" width="2.85546875" style="371" customWidth="1"/>
    <col min="3" max="3" width="2" style="371" customWidth="1"/>
    <col min="4" max="4" width="26.85546875" style="378" customWidth="1"/>
    <col min="5" max="5" width="11.28515625" style="378" customWidth="1"/>
    <col min="6" max="6" width="13.85546875" style="371" customWidth="1"/>
    <col min="7" max="7" width="15" style="371" customWidth="1"/>
    <col min="8" max="8" width="7.5703125" style="371" customWidth="1"/>
    <col min="9" max="9" width="4.28515625" style="371" customWidth="1"/>
    <col min="10" max="10" width="27.140625" style="371" customWidth="1"/>
    <col min="11" max="11" width="16.5703125" style="371" customWidth="1"/>
    <col min="12" max="12" width="1.140625" style="371" customWidth="1"/>
    <col min="13" max="13" width="1.28515625" style="371" customWidth="1"/>
    <col min="14" max="14" width="38.42578125" style="374" customWidth="1"/>
    <col min="15" max="15" width="11.5703125" style="374"/>
    <col min="16" max="16384" width="11.5703125" style="371"/>
  </cols>
  <sheetData>
    <row r="1" spans="3:16" x14ac:dyDescent="0.2">
      <c r="D1" s="372" t="s">
        <v>346</v>
      </c>
      <c r="E1" s="373"/>
    </row>
    <row r="2" spans="3:16" s="378" customFormat="1" ht="9.75" customHeight="1" x14ac:dyDescent="0.2">
      <c r="C2" s="50"/>
      <c r="D2" s="249" t="str">
        <f ca="1">IF(TODAY()-DATEVALUE(K2)&gt;(1),IF(TODAY()-DATEVALUE(K2)&gt;(180),"Bitte prüfen Sie umgehend, ob eine aktuellere Fassung vorliegt.","Bitte prüfen Sie, ob eine aktuellere Fassung vorliegt!"),"")</f>
        <v/>
      </c>
      <c r="E2" s="247"/>
      <c r="F2" s="375"/>
      <c r="G2" s="228"/>
      <c r="H2" s="228"/>
      <c r="I2" s="228"/>
      <c r="J2" s="376" t="s">
        <v>163</v>
      </c>
      <c r="K2" s="377" t="s">
        <v>260</v>
      </c>
      <c r="N2" s="379"/>
      <c r="O2" s="379"/>
    </row>
    <row r="3" spans="3:16" s="381" customFormat="1" ht="23.45" customHeight="1" x14ac:dyDescent="0.35">
      <c r="C3" s="736" t="s">
        <v>269</v>
      </c>
      <c r="D3" s="737"/>
      <c r="E3" s="737"/>
      <c r="F3" s="737"/>
      <c r="G3" s="737"/>
      <c r="H3" s="737"/>
      <c r="I3" s="737"/>
      <c r="J3" s="737"/>
      <c r="K3" s="737"/>
      <c r="L3" s="737"/>
      <c r="M3" s="738"/>
      <c r="N3" s="380"/>
      <c r="O3" s="380"/>
    </row>
    <row r="4" spans="3:16" ht="4.9000000000000004" customHeight="1" x14ac:dyDescent="0.2">
      <c r="C4" s="513"/>
      <c r="D4" s="514"/>
      <c r="E4" s="514"/>
      <c r="F4" s="515"/>
      <c r="G4" s="515"/>
      <c r="H4" s="515"/>
      <c r="I4" s="515"/>
      <c r="J4" s="515"/>
      <c r="K4" s="515"/>
      <c r="L4" s="515"/>
      <c r="M4" s="516"/>
    </row>
    <row r="5" spans="3:16" ht="11.25" customHeight="1" x14ac:dyDescent="0.2">
      <c r="C5" s="513"/>
      <c r="D5" s="517" t="s">
        <v>174</v>
      </c>
      <c r="E5" s="746"/>
      <c r="F5" s="747"/>
      <c r="G5" s="747"/>
      <c r="H5" s="747"/>
      <c r="I5" s="747"/>
      <c r="J5" s="747"/>
      <c r="K5" s="748"/>
      <c r="L5" s="515"/>
      <c r="M5" s="516"/>
    </row>
    <row r="6" spans="3:16" ht="6" customHeight="1" x14ac:dyDescent="0.2">
      <c r="C6" s="513"/>
      <c r="D6" s="517"/>
      <c r="E6" s="517"/>
      <c r="F6" s="517"/>
      <c r="G6" s="517"/>
      <c r="H6" s="517"/>
      <c r="I6" s="517"/>
      <c r="J6" s="517"/>
      <c r="K6" s="515"/>
      <c r="L6" s="515"/>
      <c r="M6" s="516"/>
    </row>
    <row r="7" spans="3:16" ht="11.25" customHeight="1" x14ac:dyDescent="0.2">
      <c r="C7" s="513"/>
      <c r="D7" s="517" t="s">
        <v>175</v>
      </c>
      <c r="E7" s="746"/>
      <c r="F7" s="747"/>
      <c r="G7" s="747"/>
      <c r="H7" s="747"/>
      <c r="I7" s="747"/>
      <c r="J7" s="747"/>
      <c r="K7" s="748"/>
      <c r="L7" s="515"/>
      <c r="M7" s="516"/>
      <c r="N7" s="382"/>
      <c r="O7" s="382">
        <f>E7</f>
        <v>0</v>
      </c>
      <c r="P7" s="384"/>
    </row>
    <row r="8" spans="3:16" ht="6" customHeight="1" x14ac:dyDescent="0.2">
      <c r="C8" s="513"/>
      <c r="D8" s="517"/>
      <c r="E8" s="517"/>
      <c r="F8" s="523"/>
      <c r="G8" s="523"/>
      <c r="H8" s="523"/>
      <c r="I8" s="523"/>
      <c r="J8" s="523"/>
      <c r="K8" s="523"/>
      <c r="L8" s="515"/>
      <c r="M8" s="516"/>
      <c r="N8" s="382"/>
      <c r="O8" s="382"/>
      <c r="P8" s="384"/>
    </row>
    <row r="9" spans="3:16" ht="11.25" customHeight="1" x14ac:dyDescent="0.2">
      <c r="C9" s="513"/>
      <c r="D9" s="518" t="s">
        <v>176</v>
      </c>
      <c r="E9" s="518"/>
      <c r="F9" s="519"/>
      <c r="G9" s="385"/>
      <c r="H9" s="529"/>
      <c r="I9" s="739" t="s">
        <v>180</v>
      </c>
      <c r="J9" s="740"/>
      <c r="K9" s="386"/>
      <c r="L9" s="515"/>
      <c r="M9" s="516"/>
      <c r="N9" s="382"/>
      <c r="O9" s="382"/>
      <c r="P9" s="384"/>
    </row>
    <row r="10" spans="3:16" ht="6" customHeight="1" x14ac:dyDescent="0.2">
      <c r="C10" s="513"/>
      <c r="D10" s="518"/>
      <c r="E10" s="518"/>
      <c r="F10" s="519"/>
      <c r="G10" s="587">
        <f>YEAR(G9)</f>
        <v>1900</v>
      </c>
      <c r="H10" s="529"/>
      <c r="I10" s="530"/>
      <c r="J10" s="530"/>
      <c r="K10" s="523"/>
      <c r="L10" s="515"/>
      <c r="M10" s="516"/>
      <c r="N10" s="382"/>
      <c r="O10" s="382"/>
      <c r="P10" s="384"/>
    </row>
    <row r="11" spans="3:16" ht="11.25" customHeight="1" x14ac:dyDescent="0.2">
      <c r="C11" s="513"/>
      <c r="D11" s="518" t="str">
        <f>IF('Fiktives Baujahr'!D49="Bitte KPA ausfüllen","  5) Ursprüngliches Baujahr:",IF('Fiktives Baujahr'!D49&lt;&gt;G11,"  5) Fiktives Baujahr ("&amp;F11&amp;") &amp; ursprüngliches Baujahr:","  5) Ursprüngliches Baujahr:"))</f>
        <v xml:space="preserve">  5) Ursprüngliches Baujahr:</v>
      </c>
      <c r="E11" s="518"/>
      <c r="F11" s="657" t="str">
        <f>IF('Fiktives Baujahr'!D49="Bitte KPA ausfüllen","",IF('Fiktives Baujahr'!D49&lt;&gt;G11,'Fiktives Baujahr'!D49,G11))</f>
        <v/>
      </c>
      <c r="G11" s="387"/>
      <c r="H11" s="531" t="str">
        <f>IF(G11&gt;YEAR(G9),"Nach KV?","")</f>
        <v/>
      </c>
      <c r="I11" s="739" t="s">
        <v>181</v>
      </c>
      <c r="J11" s="740"/>
      <c r="K11" s="387"/>
      <c r="L11" s="515"/>
      <c r="M11" s="516"/>
      <c r="N11" s="382"/>
      <c r="O11" s="382"/>
      <c r="P11" s="384"/>
    </row>
    <row r="12" spans="3:16" ht="6" customHeight="1" x14ac:dyDescent="0.2">
      <c r="C12" s="513"/>
      <c r="D12" s="519"/>
      <c r="E12" s="519"/>
      <c r="F12" s="519"/>
      <c r="G12" s="523"/>
      <c r="H12" s="523"/>
      <c r="I12" s="530"/>
      <c r="J12" s="530"/>
      <c r="K12" s="523"/>
      <c r="L12" s="515"/>
      <c r="M12" s="516"/>
      <c r="N12" s="382"/>
      <c r="O12" s="382"/>
      <c r="P12" s="384"/>
    </row>
    <row r="13" spans="3:16" ht="11.25" customHeight="1" x14ac:dyDescent="0.2">
      <c r="C13" s="513"/>
      <c r="D13" s="739" t="s">
        <v>177</v>
      </c>
      <c r="E13" s="739"/>
      <c r="F13" s="740"/>
      <c r="G13" s="388"/>
      <c r="H13" s="523"/>
      <c r="I13" s="739" t="s">
        <v>182</v>
      </c>
      <c r="J13" s="740"/>
      <c r="K13" s="388"/>
      <c r="L13" s="515"/>
      <c r="M13" s="516"/>
      <c r="N13" s="382"/>
      <c r="O13" s="382"/>
      <c r="P13" s="384"/>
    </row>
    <row r="14" spans="3:16" ht="6" customHeight="1" x14ac:dyDescent="0.2">
      <c r="C14" s="513"/>
      <c r="D14" s="524"/>
      <c r="E14" s="524"/>
      <c r="F14" s="525"/>
      <c r="G14" s="528"/>
      <c r="H14" s="528"/>
      <c r="I14" s="528"/>
      <c r="J14" s="530"/>
      <c r="K14" s="528"/>
      <c r="L14" s="515"/>
      <c r="M14" s="516"/>
      <c r="N14" s="382"/>
      <c r="O14" s="382"/>
      <c r="P14" s="384"/>
    </row>
    <row r="15" spans="3:16" ht="11.25" customHeight="1" x14ac:dyDescent="0.2">
      <c r="C15" s="513"/>
      <c r="D15" s="739" t="s">
        <v>178</v>
      </c>
      <c r="E15" s="739"/>
      <c r="F15" s="740"/>
      <c r="G15" s="586"/>
      <c r="H15" s="532"/>
      <c r="I15" s="739" t="s">
        <v>170</v>
      </c>
      <c r="J15" s="740"/>
      <c r="K15" s="586"/>
      <c r="L15" s="742"/>
      <c r="M15" s="743"/>
      <c r="N15" s="382"/>
      <c r="O15" s="382"/>
      <c r="P15" s="384"/>
    </row>
    <row r="16" spans="3:16" ht="6" customHeight="1" x14ac:dyDescent="0.2">
      <c r="C16" s="513"/>
      <c r="D16" s="517"/>
      <c r="E16" s="517"/>
      <c r="F16" s="517"/>
      <c r="G16" s="665">
        <f>IF(ISNUMBER(SEARCH("eigentum",E7)),G15,0)</f>
        <v>0</v>
      </c>
      <c r="H16" s="666"/>
      <c r="I16" s="666"/>
      <c r="J16" s="667"/>
      <c r="K16" s="665">
        <f>IF(ISNUMBER(SEARCH("eigentum",E7)),K15,0)</f>
        <v>0</v>
      </c>
      <c r="L16" s="515"/>
      <c r="M16" s="516"/>
      <c r="N16" s="382"/>
      <c r="O16" s="382"/>
      <c r="P16" s="384"/>
    </row>
    <row r="17" spans="1:16" ht="11.25" customHeight="1" x14ac:dyDescent="0.2">
      <c r="C17" s="513"/>
      <c r="D17" s="744" t="s">
        <v>324</v>
      </c>
      <c r="E17" s="744"/>
      <c r="F17" s="745"/>
      <c r="G17" s="389"/>
      <c r="H17" s="528"/>
      <c r="I17" s="739" t="s">
        <v>179</v>
      </c>
      <c r="J17" s="740"/>
      <c r="K17" s="390"/>
      <c r="L17" s="515"/>
      <c r="M17" s="516"/>
      <c r="N17" s="382"/>
      <c r="O17" s="382"/>
      <c r="P17" s="384"/>
    </row>
    <row r="18" spans="1:16" ht="5.45" customHeight="1" x14ac:dyDescent="0.2">
      <c r="C18" s="513"/>
      <c r="D18" s="526"/>
      <c r="E18" s="526"/>
      <c r="F18" s="527"/>
      <c r="G18" s="515"/>
      <c r="H18" s="515"/>
      <c r="I18" s="515"/>
      <c r="J18" s="515"/>
      <c r="K18" s="515"/>
      <c r="L18" s="515"/>
      <c r="M18" s="516"/>
      <c r="N18" s="382"/>
      <c r="O18" s="382"/>
      <c r="P18" s="384"/>
    </row>
    <row r="19" spans="1:16" ht="5.45" customHeight="1" x14ac:dyDescent="0.2">
      <c r="C19" s="513"/>
      <c r="D19" s="741" t="s">
        <v>239</v>
      </c>
      <c r="E19" s="741"/>
      <c r="F19" s="741"/>
      <c r="G19" s="741"/>
      <c r="H19" s="741"/>
      <c r="I19" s="741"/>
      <c r="J19" s="741"/>
      <c r="K19" s="741"/>
      <c r="L19" s="520"/>
      <c r="M19" s="516"/>
      <c r="N19" s="382"/>
      <c r="O19" s="382"/>
      <c r="P19" s="384"/>
    </row>
    <row r="20" spans="1:16" ht="12" customHeight="1" x14ac:dyDescent="0.2">
      <c r="C20" s="513"/>
      <c r="D20" s="533" t="s">
        <v>325</v>
      </c>
      <c r="E20" s="533"/>
      <c r="F20" s="533"/>
      <c r="G20" s="389"/>
      <c r="H20" s="515"/>
      <c r="I20" s="739" t="s">
        <v>173</v>
      </c>
      <c r="J20" s="740"/>
      <c r="K20" s="389"/>
      <c r="L20" s="515"/>
      <c r="M20" s="516"/>
      <c r="N20" s="382"/>
      <c r="O20" s="382"/>
      <c r="P20" s="384"/>
    </row>
    <row r="21" spans="1:16" ht="12" customHeight="1" x14ac:dyDescent="0.2">
      <c r="C21" s="513"/>
      <c r="D21" s="534"/>
      <c r="E21" s="534"/>
      <c r="F21" s="515"/>
      <c r="G21" s="515"/>
      <c r="H21" s="521" t="str">
        <f>IF($O$21="voll","","Rote Felder sind Pflichtfelder!")</f>
        <v>Rote Felder sind Pflichtfelder!</v>
      </c>
      <c r="I21" s="515"/>
      <c r="J21" s="549"/>
      <c r="K21" s="550"/>
      <c r="L21" s="521"/>
      <c r="M21" s="522"/>
      <c r="N21" s="382"/>
      <c r="O21" s="391" t="str">
        <f>IF(ISNUMBER(SEARCH("eigentum",$E$7)),IF(OR(E5="",G9="",G11="",G15="",G17="",K9="",K11="",K15="",K17=""),"leer","voll"),IF(OR(E5="",E7="",G9="",G11="",G17="",K9="",K11="",K17=""),"leer","voll"))</f>
        <v>leer</v>
      </c>
      <c r="P21" s="384"/>
    </row>
    <row r="22" spans="1:16" ht="9.75" customHeight="1" thickBot="1" x14ac:dyDescent="0.25">
      <c r="C22" s="513"/>
      <c r="D22" s="535"/>
      <c r="E22" s="535"/>
      <c r="F22" s="536"/>
      <c r="G22" s="536"/>
      <c r="H22" s="536"/>
      <c r="I22" s="536"/>
      <c r="J22" s="551"/>
      <c r="K22" s="552"/>
      <c r="L22" s="521"/>
      <c r="M22" s="522"/>
      <c r="N22" s="382"/>
      <c r="O22" s="391"/>
      <c r="P22" s="384"/>
    </row>
    <row r="23" spans="1:16" ht="11.25" customHeight="1" thickTop="1" x14ac:dyDescent="0.2">
      <c r="A23" s="421" t="str">
        <f>IF(IFERROR(SEARCH("[",$E$7),0),"Einblenden","Ausblenden")</f>
        <v>Ausblenden</v>
      </c>
      <c r="B23" s="393"/>
      <c r="C23" s="537"/>
      <c r="D23" s="538"/>
      <c r="E23" s="538"/>
      <c r="F23" s="539"/>
      <c r="G23" s="539"/>
      <c r="H23" s="539"/>
      <c r="I23" s="539"/>
      <c r="J23" s="553"/>
      <c r="K23" s="554"/>
      <c r="L23" s="555"/>
      <c r="M23" s="556"/>
      <c r="N23" s="382"/>
      <c r="O23" s="391"/>
      <c r="P23" s="384"/>
    </row>
    <row r="24" spans="1:16" ht="11.25" customHeight="1" x14ac:dyDescent="0.2">
      <c r="A24" s="421" t="str">
        <f>IF(IFERROR(SEARCH("[",$E$7),0),"Einblenden","Ausblenden")</f>
        <v>Ausblenden</v>
      </c>
      <c r="B24" s="393"/>
      <c r="C24" s="537"/>
      <c r="D24" s="540" t="s">
        <v>257</v>
      </c>
      <c r="E24" s="538"/>
      <c r="F24" s="539"/>
      <c r="G24" s="539"/>
      <c r="H24" s="539"/>
      <c r="I24" s="539"/>
      <c r="J24" s="553"/>
      <c r="K24" s="554"/>
      <c r="L24" s="555"/>
      <c r="M24" s="556"/>
      <c r="N24" s="382"/>
      <c r="O24" s="391"/>
      <c r="P24" s="384"/>
    </row>
    <row r="25" spans="1:16" ht="6" customHeight="1" x14ac:dyDescent="0.2">
      <c r="A25" s="421" t="str">
        <f>IF(IFERROR(SEARCH("[",$E$7),0),"Einblenden","Ausblenden")</f>
        <v>Ausblenden</v>
      </c>
      <c r="B25" s="393"/>
      <c r="C25" s="537"/>
      <c r="D25" s="540"/>
      <c r="E25" s="538"/>
      <c r="F25" s="539"/>
      <c r="G25" s="539"/>
      <c r="H25" s="539"/>
      <c r="I25" s="539"/>
      <c r="J25" s="553"/>
      <c r="K25" s="554"/>
      <c r="L25" s="555"/>
      <c r="M25" s="556"/>
      <c r="N25" s="382"/>
      <c r="O25" s="391"/>
      <c r="P25" s="384"/>
    </row>
    <row r="26" spans="1:16" ht="11.25" customHeight="1" x14ac:dyDescent="0.2">
      <c r="A26" s="421" t="str">
        <f>IF(IFERROR(SEARCH("[",$E$7),0),"Einblenden","Ausblenden")</f>
        <v>Ausblenden</v>
      </c>
      <c r="B26" s="393"/>
      <c r="C26" s="537"/>
      <c r="D26" s="538" t="s">
        <v>317</v>
      </c>
      <c r="E26" s="538"/>
      <c r="F26" s="539"/>
      <c r="G26" s="389"/>
      <c r="H26" s="539"/>
      <c r="I26" s="763" t="s">
        <v>318</v>
      </c>
      <c r="J26" s="763"/>
      <c r="K26" s="656" t="s">
        <v>322</v>
      </c>
      <c r="L26" s="555"/>
      <c r="M26" s="556"/>
      <c r="N26" s="382"/>
      <c r="O26" s="391"/>
      <c r="P26" s="384"/>
    </row>
    <row r="27" spans="1:16" ht="6" customHeight="1" x14ac:dyDescent="0.2">
      <c r="A27" s="421" t="str">
        <f>IF(IFERROR(SEARCH("[",$E$7),0),"Einblenden","Ausblenden")</f>
        <v>Ausblenden</v>
      </c>
      <c r="B27" s="393"/>
      <c r="C27" s="537"/>
      <c r="D27" s="541"/>
      <c r="E27" s="541"/>
      <c r="F27" s="541"/>
      <c r="G27" s="541"/>
      <c r="H27" s="541"/>
      <c r="I27" s="614"/>
      <c r="J27" s="614"/>
      <c r="K27" s="614"/>
      <c r="L27" s="539"/>
      <c r="M27" s="557"/>
    </row>
    <row r="28" spans="1:16" ht="11.25" customHeight="1" x14ac:dyDescent="0.2">
      <c r="A28" s="421" t="str">
        <f t="shared" ref="A28:A33" si="0">IF(G$26="Ja",IF(IFERROR(SEARCH("[",$E$7),0),"Einblenden","Ausblenden"),"Ausblenden")</f>
        <v>Ausblenden</v>
      </c>
      <c r="B28" s="393"/>
      <c r="C28" s="537"/>
      <c r="D28" s="763" t="s">
        <v>319</v>
      </c>
      <c r="E28" s="763"/>
      <c r="F28" s="763"/>
      <c r="G28" s="425"/>
      <c r="H28" s="772" t="s">
        <v>320</v>
      </c>
      <c r="I28" s="772"/>
      <c r="J28" s="764" t="s">
        <v>239</v>
      </c>
      <c r="K28" s="765"/>
      <c r="L28" s="555"/>
      <c r="M28" s="556"/>
      <c r="N28" s="382"/>
      <c r="O28" s="391"/>
      <c r="P28" s="384"/>
    </row>
    <row r="29" spans="1:16" ht="11.25" customHeight="1" x14ac:dyDescent="0.2">
      <c r="A29" s="421" t="str">
        <f t="shared" si="0"/>
        <v>Ausblenden</v>
      </c>
      <c r="B29" s="393"/>
      <c r="C29" s="537"/>
      <c r="D29" s="763"/>
      <c r="E29" s="763"/>
      <c r="F29" s="763"/>
      <c r="G29" s="541"/>
      <c r="H29" s="772"/>
      <c r="I29" s="772"/>
      <c r="J29" s="766"/>
      <c r="K29" s="767"/>
      <c r="L29" s="555"/>
      <c r="M29" s="556"/>
      <c r="N29" s="382"/>
      <c r="O29" s="391"/>
      <c r="P29" s="384"/>
    </row>
    <row r="30" spans="1:16" ht="11.25" customHeight="1" x14ac:dyDescent="0.2">
      <c r="A30" s="421" t="str">
        <f t="shared" si="0"/>
        <v>Ausblenden</v>
      </c>
      <c r="B30" s="393"/>
      <c r="C30" s="542"/>
      <c r="D30" s="538"/>
      <c r="E30" s="538"/>
      <c r="F30" s="543"/>
      <c r="G30" s="539"/>
      <c r="H30" s="539"/>
      <c r="I30" s="539"/>
      <c r="J30" s="766"/>
      <c r="K30" s="767"/>
      <c r="L30" s="539"/>
      <c r="M30" s="557"/>
      <c r="N30" s="371"/>
      <c r="O30" s="371"/>
    </row>
    <row r="31" spans="1:16" ht="12" customHeight="1" x14ac:dyDescent="0.2">
      <c r="A31" s="421" t="str">
        <f t="shared" si="0"/>
        <v>Ausblenden</v>
      </c>
      <c r="B31" s="393"/>
      <c r="C31" s="542"/>
      <c r="D31" s="538" t="s">
        <v>329</v>
      </c>
      <c r="E31" s="538"/>
      <c r="F31" s="539"/>
      <c r="G31" s="424"/>
      <c r="H31" s="539"/>
      <c r="I31" s="539"/>
      <c r="J31" s="766"/>
      <c r="K31" s="767"/>
      <c r="L31" s="539"/>
      <c r="M31" s="557"/>
      <c r="N31" s="371"/>
      <c r="O31" s="371"/>
    </row>
    <row r="32" spans="1:16" ht="11.25" customHeight="1" x14ac:dyDescent="0.2">
      <c r="A32" s="421" t="str">
        <f t="shared" si="0"/>
        <v>Ausblenden</v>
      </c>
      <c r="B32" s="393"/>
      <c r="C32" s="542"/>
      <c r="D32" s="538" t="s">
        <v>328</v>
      </c>
      <c r="E32" s="538"/>
      <c r="F32" s="539"/>
      <c r="G32" s="424"/>
      <c r="H32" s="539"/>
      <c r="I32" s="539"/>
      <c r="J32" s="768"/>
      <c r="K32" s="769"/>
      <c r="L32" s="539"/>
      <c r="M32" s="557"/>
      <c r="N32" s="371"/>
      <c r="O32" s="371"/>
    </row>
    <row r="33" spans="1:16" ht="9.75" customHeight="1" thickBot="1" x14ac:dyDescent="0.25">
      <c r="A33" s="421" t="str">
        <f t="shared" si="0"/>
        <v>Ausblenden</v>
      </c>
      <c r="B33" s="393"/>
      <c r="C33" s="537"/>
      <c r="D33" s="544"/>
      <c r="E33" s="544"/>
      <c r="F33" s="545"/>
      <c r="G33" s="545"/>
      <c r="H33" s="545"/>
      <c r="I33" s="545"/>
      <c r="J33" s="558"/>
      <c r="K33" s="559"/>
      <c r="L33" s="555"/>
      <c r="M33" s="556"/>
      <c r="N33" s="382"/>
      <c r="O33" s="391"/>
      <c r="P33" s="384"/>
    </row>
    <row r="34" spans="1:16" ht="11.25" customHeight="1" thickTop="1" x14ac:dyDescent="0.2">
      <c r="A34" s="421" t="str">
        <f>IF(IFERROR(SEARCH("grund",$E$7),FALSE),"Einblenden",IF(G$26="Nein",IF(IFERROR(SEARCH("[",$E$7),FALSE),IF(G$37="Nein","Ausblenden","Einblenden"),"Ausblenden"),"Ausblenden"))</f>
        <v>Ausblenden</v>
      </c>
      <c r="B34" s="393"/>
      <c r="C34" s="537"/>
      <c r="D34" s="538"/>
      <c r="E34" s="538"/>
      <c r="F34" s="539"/>
      <c r="G34" s="539"/>
      <c r="H34" s="539"/>
      <c r="I34" s="539"/>
      <c r="J34" s="553"/>
      <c r="K34" s="554"/>
      <c r="L34" s="555"/>
      <c r="M34" s="556"/>
      <c r="N34" s="382"/>
      <c r="O34" s="391"/>
      <c r="P34" s="384"/>
    </row>
    <row r="35" spans="1:16" ht="11.25" customHeight="1" x14ac:dyDescent="0.2">
      <c r="A35" s="421" t="str">
        <f>IF(IFERROR(SEARCH("grund",$E$7),FALSE),"Einblenden",IF(G$26="Nein",IF(IFERROR(SEARCH("[",$E$7),FALSE),IF(G$37="Nein","Ausblenden","Einblenden"),"Ausblenden"),"Ausblenden"))</f>
        <v>Ausblenden</v>
      </c>
      <c r="B35" s="393"/>
      <c r="C35" s="537"/>
      <c r="D35" s="540" t="s">
        <v>262</v>
      </c>
      <c r="E35" s="538"/>
      <c r="F35" s="539"/>
      <c r="G35" s="539"/>
      <c r="H35" s="539"/>
      <c r="I35" s="614"/>
      <c r="J35" s="615"/>
      <c r="K35" s="554"/>
      <c r="L35" s="555"/>
      <c r="M35" s="556"/>
      <c r="N35" s="382"/>
      <c r="O35" s="391"/>
      <c r="P35" s="384"/>
    </row>
    <row r="36" spans="1:16" ht="9.75" customHeight="1" x14ac:dyDescent="0.2">
      <c r="A36" s="421" t="str">
        <f>IF(IFERROR(SEARCH("grund",$E$7),FALSE),"Einblenden",IF(G$26="Nein",IF(IFERROR(SEARCH("[",$E$7),FALSE),IF(G$37="Nein","Ausblenden","Einblenden"),"Ausblenden"),"Ausblenden"))</f>
        <v>Ausblenden</v>
      </c>
      <c r="B36" s="393"/>
      <c r="C36" s="537"/>
      <c r="D36" s="538"/>
      <c r="E36" s="538"/>
      <c r="F36" s="539"/>
      <c r="G36" s="539"/>
      <c r="H36" s="539"/>
      <c r="I36" s="763" t="s">
        <v>330</v>
      </c>
      <c r="J36" s="763"/>
      <c r="K36" s="668"/>
      <c r="L36" s="555"/>
      <c r="M36" s="556"/>
      <c r="N36" s="382"/>
      <c r="O36" s="391"/>
      <c r="P36" s="384"/>
    </row>
    <row r="37" spans="1:16" ht="11.25" customHeight="1" x14ac:dyDescent="0.2">
      <c r="A37" s="421" t="str">
        <f>IF(IFERROR(SEARCH("grund",$E$7),FALSE),"Einblenden",IF(G$26="Nein",IF(IFERROR(SEARCH("[",$E$7),FALSE),"Einblenden","Ausblenden"),"Ausblenden"))</f>
        <v>Ausblenden</v>
      </c>
      <c r="B37" s="393"/>
      <c r="C37" s="537"/>
      <c r="D37" s="538" t="s">
        <v>333</v>
      </c>
      <c r="E37" s="538"/>
      <c r="F37" s="539"/>
      <c r="G37" s="389"/>
      <c r="H37" s="539"/>
      <c r="I37" s="763"/>
      <c r="J37" s="763"/>
      <c r="K37" s="614"/>
      <c r="L37" s="555"/>
      <c r="M37" s="556"/>
      <c r="N37" s="382"/>
      <c r="O37" s="391"/>
      <c r="P37" s="384"/>
    </row>
    <row r="38" spans="1:16" ht="6" customHeight="1" x14ac:dyDescent="0.2">
      <c r="A38" s="421" t="str">
        <f>IF(IFERROR(SEARCH("grund",$E$7),FALSE),"Einblenden",IF(G$26="Nein",IF(IFERROR(SEARCH("[",$E$7),FALSE),IF(G$37="Nein","Ausblenden","Einblenden"),"Ausblenden"),"Ausblenden"))</f>
        <v>Ausblenden</v>
      </c>
      <c r="B38" s="393"/>
      <c r="C38" s="537"/>
      <c r="D38" s="541"/>
      <c r="E38" s="541"/>
      <c r="F38" s="541"/>
      <c r="G38" s="541"/>
      <c r="H38" s="541"/>
      <c r="I38" s="763"/>
      <c r="J38" s="763"/>
      <c r="K38" s="539"/>
      <c r="L38" s="539"/>
      <c r="M38" s="557"/>
    </row>
    <row r="39" spans="1:16" ht="11.25" customHeight="1" x14ac:dyDescent="0.2">
      <c r="A39" s="421" t="str">
        <f>IF(AND(G$37="Ja",IFERROR(SEARCH("grund",$E$7),FALSE)),"Einblenden",IF(G$26="Nein",IF(AND(G37="Ja",IFERROR(SEARCH("[",$E$7),FALSE)),"Einblenden","Ausblenden"),"Ausblenden"))</f>
        <v>Ausblenden</v>
      </c>
      <c r="B39" s="393"/>
      <c r="C39" s="537"/>
      <c r="D39" s="538" t="s">
        <v>327</v>
      </c>
      <c r="E39" s="538"/>
      <c r="F39" s="539"/>
      <c r="G39" s="394"/>
      <c r="H39" s="539"/>
      <c r="I39" s="771" t="str">
        <f>IF(K17&lt;1000,IF(OR(K17="",G11="",G17="",K11="",G39="",K36="",G9="",K9=""),"",IF((K36-VLOOKUP(KPA!E7,'EW-Bewertungsparameter'!A8:P67,K84,0))&lt;-2,"Prüfhinweis! Zinssatz sehr fragwürdig. Bitte unbedingt prüfen und ggf. ausführlich begründen (gesondertes Blatt):",IF((K36-VLOOKUP(KPA!E7,'EW-Bewertungsparameter'!A8:P67,K84,0))&lt;-1,"Prüfhinweis. Zinssatz ungewöhnlich niedrig. Bitte prüfen und ggf. begründen (z.B. Quellenangabe im Grundstücksmarktbericht des Gutachterausschusses):",""))),IF(OR(K17="",G11="",G17="",K11="",G39="",K36="",G9="",K9=""),"",IF((K36-VLOOKUP(KPA!E7,'EW-Bewertungsparameter'!A8:P67,K84,0))&lt;-2.5,"Prüfhinweis! Zinssatz sehr fragwürdig. Bitte unbedingt prüfen und ggf. ausführlich begründen (gesondertes Blatt):",IF((K36-VLOOKUP(KPA!E7,'EW-Bewertungsparameter'!A8:P67,K84,0))&lt;-1.5,"Prüfhinweis. Zinssatz ungewöhnlich niedrig. Bitte prüfen und ggf. begründen (z.B. Quellenangabe im Grundstücksmarktbericht des Gutachterausschusses):",""))))</f>
        <v/>
      </c>
      <c r="J39" s="771"/>
      <c r="K39" s="771"/>
      <c r="L39" s="555"/>
      <c r="M39" s="556"/>
      <c r="N39" s="382"/>
      <c r="O39" s="391"/>
      <c r="P39" s="384"/>
    </row>
    <row r="40" spans="1:16" ht="12.75" customHeight="1" x14ac:dyDescent="0.2">
      <c r="A40" s="421" t="str">
        <f>IF(IFERROR(SEARCH("grund",$E$7),FALSE),"Einblenden",IF(G$26="Nein",IF(IFERROR(SEARCH("[",$E$7),FALSE),IF(G$37="Nein","Ausblenden","Einblenden"),"Ausblenden"),"Ausblenden"))</f>
        <v>Ausblenden</v>
      </c>
      <c r="B40" s="393"/>
      <c r="C40" s="537"/>
      <c r="D40" s="538"/>
      <c r="E40" s="538"/>
      <c r="F40" s="539"/>
      <c r="G40" s="539"/>
      <c r="H40" s="539"/>
      <c r="I40" s="771"/>
      <c r="J40" s="771"/>
      <c r="K40" s="771"/>
      <c r="L40" s="555"/>
      <c r="M40" s="556"/>
      <c r="N40" s="382"/>
      <c r="O40" s="391"/>
      <c r="P40" s="384"/>
    </row>
    <row r="41" spans="1:16" ht="9.75" customHeight="1" x14ac:dyDescent="0.2">
      <c r="A41" s="421"/>
      <c r="B41" s="393"/>
      <c r="C41" s="537"/>
      <c r="D41" s="538"/>
      <c r="E41" s="538"/>
      <c r="F41" s="539"/>
      <c r="G41" s="539"/>
      <c r="H41" s="539"/>
      <c r="I41" s="770"/>
      <c r="J41" s="770"/>
      <c r="K41" s="770"/>
      <c r="L41" s="555"/>
      <c r="M41" s="556"/>
      <c r="N41" s="382"/>
      <c r="O41" s="391"/>
      <c r="P41" s="384"/>
    </row>
    <row r="42" spans="1:16" ht="9.75" customHeight="1" thickBot="1" x14ac:dyDescent="0.25">
      <c r="A42" s="421"/>
      <c r="B42" s="393"/>
      <c r="C42" s="537"/>
      <c r="D42" s="544"/>
      <c r="E42" s="544"/>
      <c r="F42" s="545"/>
      <c r="G42" s="545"/>
      <c r="H42" s="545"/>
      <c r="I42" s="617"/>
      <c r="J42" s="617"/>
      <c r="K42" s="617"/>
      <c r="L42" s="555"/>
      <c r="M42" s="556"/>
      <c r="N42" s="382"/>
      <c r="O42" s="391"/>
      <c r="P42" s="384"/>
    </row>
    <row r="43" spans="1:16" ht="11.25" customHeight="1" thickTop="1" x14ac:dyDescent="0.2">
      <c r="A43" s="421" t="str">
        <f>IF(IFERROR(SEARCH("[",$E$7),0),IF(AND(G$26="Nein",G$37="Nein"),"Einblenden","Ausblenden"),IF(IFERROR(SEARCH("grund",$E$7),0),IF(G$37="Nein","Einblenden","Ausblenden"),"Einblenden"))</f>
        <v>Einblenden</v>
      </c>
      <c r="B43" s="393"/>
      <c r="C43" s="537"/>
      <c r="D43" s="538"/>
      <c r="E43" s="538"/>
      <c r="F43" s="539"/>
      <c r="G43" s="539"/>
      <c r="H43" s="539"/>
      <c r="I43" s="539"/>
      <c r="J43" s="553"/>
      <c r="K43" s="554"/>
      <c r="L43" s="555"/>
      <c r="M43" s="556"/>
      <c r="N43" s="382"/>
      <c r="O43" s="391"/>
      <c r="P43" s="384"/>
    </row>
    <row r="44" spans="1:16" ht="11.25" customHeight="1" x14ac:dyDescent="0.2">
      <c r="A44" s="421" t="str">
        <f>IF(IFERROR(SEARCH("[",$E$7),0),IF(AND(G$26="Nein",G$37="Nein"),"Einblenden","Ausblenden"),IF(IFERROR(SEARCH("grund",$E$7),0),IF(G$37="Nein","Einblenden","Ausblenden"),"Einblenden"))</f>
        <v>Einblenden</v>
      </c>
      <c r="B44" s="393"/>
      <c r="C44" s="537"/>
      <c r="D44" s="540" t="s">
        <v>261</v>
      </c>
      <c r="E44" s="538"/>
      <c r="F44" s="539"/>
      <c r="G44" s="539"/>
      <c r="H44" s="539"/>
      <c r="I44" s="539"/>
      <c r="J44" s="553"/>
      <c r="K44" s="554"/>
      <c r="L44" s="555"/>
      <c r="M44" s="556"/>
      <c r="N44" s="382"/>
      <c r="O44" s="391"/>
      <c r="P44" s="384"/>
    </row>
    <row r="45" spans="1:16" ht="6.75" customHeight="1" x14ac:dyDescent="0.2">
      <c r="A45" s="421" t="str">
        <f>IF(IFERROR(SEARCH("[",$E$7),0),IF(AND(G$26="Nein",G$37="Nein"),"Einblenden","Ausblenden"),IF(IFERROR(SEARCH("grund",$E$7),0),IF(G$37="Nein","Einblenden","Ausblenden"),"Einblenden"))</f>
        <v>Einblenden</v>
      </c>
      <c r="B45" s="393"/>
      <c r="C45" s="537"/>
      <c r="D45" s="538"/>
      <c r="E45" s="538"/>
      <c r="F45" s="539"/>
      <c r="G45" s="539"/>
      <c r="H45" s="539"/>
      <c r="I45" s="539"/>
      <c r="J45" s="553"/>
      <c r="K45" s="554"/>
      <c r="L45" s="555"/>
      <c r="M45" s="556"/>
      <c r="N45" s="382"/>
      <c r="O45" s="391"/>
      <c r="P45" s="384"/>
    </row>
    <row r="46" spans="1:16" ht="11.25" customHeight="1" x14ac:dyDescent="0.2">
      <c r="A46" s="421" t="str">
        <f>IF(IFERROR(SEARCH("[",$E$7),0),IF(AND(G$26="Nein",G$37="Nein"),"Einblenden","Ausblenden"),IF(IFERROR(SEARCH("grund",$E$7),0),IF(G$37="Nein","Einblenden","Ausblenden"),"Einblenden"))</f>
        <v>Einblenden</v>
      </c>
      <c r="B46" s="393"/>
      <c r="C46" s="537"/>
      <c r="D46" s="538" t="s">
        <v>321</v>
      </c>
      <c r="E46" s="538"/>
      <c r="F46" s="539"/>
      <c r="G46" s="613">
        <v>1</v>
      </c>
      <c r="H46" s="539"/>
      <c r="I46" s="539"/>
      <c r="J46" s="553"/>
      <c r="K46" s="554"/>
      <c r="L46" s="555"/>
      <c r="M46" s="556"/>
      <c r="N46" s="382"/>
      <c r="O46" s="391"/>
      <c r="P46" s="384"/>
    </row>
    <row r="47" spans="1:16" ht="9.75" customHeight="1" thickBot="1" x14ac:dyDescent="0.25">
      <c r="A47" s="421" t="str">
        <f>IF(IFERROR(SEARCH("[",$E$7),0),IF(AND(G$26="Nein",G$37="Nein"),"Einblenden","Ausblenden"),IF(IFERROR(SEARCH("grund",$E$7),0),IF(G$37="Nein","Einblenden","Ausblenden"),"Einblenden"))</f>
        <v>Einblenden</v>
      </c>
      <c r="B47" s="393"/>
      <c r="C47" s="537"/>
      <c r="D47" s="544"/>
      <c r="E47" s="544"/>
      <c r="F47" s="545"/>
      <c r="G47" s="545"/>
      <c r="H47" s="545"/>
      <c r="I47" s="545"/>
      <c r="J47" s="558"/>
      <c r="K47" s="559"/>
      <c r="L47" s="555"/>
      <c r="M47" s="556"/>
      <c r="N47" s="382"/>
      <c r="O47" s="391"/>
      <c r="P47" s="384"/>
    </row>
    <row r="48" spans="1:16" ht="40.5" customHeight="1" thickTop="1" x14ac:dyDescent="0.2">
      <c r="A48" s="421" t="str">
        <f>IF(G$26="Ja",IF(IFERROR(SEARCH("Wohnungseigentum",$E$7),0),"Einblenden","Ausblenden"),"Ausblenden")</f>
        <v>Ausblenden</v>
      </c>
      <c r="B48" s="393"/>
      <c r="C48" s="546"/>
      <c r="D48" s="547"/>
      <c r="E48" s="547"/>
      <c r="F48" s="548"/>
      <c r="G48" s="564"/>
      <c r="H48" s="548"/>
      <c r="I48" s="548"/>
      <c r="J48" s="560"/>
      <c r="K48" s="561"/>
      <c r="L48" s="562"/>
      <c r="M48" s="563"/>
      <c r="N48" s="382"/>
      <c r="O48" s="391"/>
      <c r="P48" s="384"/>
    </row>
    <row r="49" spans="1:16" ht="17.25" customHeight="1" x14ac:dyDescent="0.2">
      <c r="A49" s="392" t="str">
        <f>IF(KPA!$O$21="leer","Ausblenden","Einblenden")</f>
        <v>Ausblenden</v>
      </c>
      <c r="C49" s="422"/>
      <c r="D49" s="423"/>
      <c r="E49" s="423"/>
      <c r="F49" s="422"/>
      <c r="G49" s="422"/>
      <c r="H49" s="422"/>
      <c r="I49" s="422"/>
      <c r="J49" s="422"/>
      <c r="K49" s="422"/>
      <c r="L49" s="422"/>
      <c r="M49" s="422"/>
      <c r="N49" s="382"/>
      <c r="O49" s="383">
        <v>3</v>
      </c>
      <c r="P49" s="384"/>
    </row>
    <row r="50" spans="1:16" s="392" customFormat="1" ht="23.25" customHeight="1" thickBot="1" x14ac:dyDescent="0.25">
      <c r="A50" s="392" t="str">
        <f>IF(KPA!$O$21="leer","Ausblenden","Einblenden")</f>
        <v>Ausblenden</v>
      </c>
      <c r="C50" s="575"/>
      <c r="D50" s="773" t="str">
        <f>"Berechnung:"</f>
        <v>Berechnung:</v>
      </c>
      <c r="E50" s="773"/>
      <c r="F50" s="773"/>
      <c r="G50" s="773"/>
      <c r="H50" s="773"/>
      <c r="I50" s="773"/>
      <c r="J50" s="773"/>
      <c r="K50" s="773"/>
      <c r="L50" s="773"/>
      <c r="M50" s="576"/>
      <c r="N50" s="395"/>
      <c r="O50" s="395"/>
      <c r="P50" s="396"/>
    </row>
    <row r="51" spans="1:16" s="392" customFormat="1" ht="12" customHeight="1" x14ac:dyDescent="0.2">
      <c r="A51" s="392" t="str">
        <f>IF(KPA!$O$21="leer","Ausblenden","Einblenden")</f>
        <v>Ausblenden</v>
      </c>
      <c r="C51" s="513"/>
      <c r="D51" s="720" t="s">
        <v>59</v>
      </c>
      <c r="E51" s="721"/>
      <c r="F51" s="721"/>
      <c r="G51" s="721"/>
      <c r="H51" s="721"/>
      <c r="I51" s="721"/>
      <c r="J51" s="721"/>
      <c r="K51" s="721"/>
      <c r="L51" s="722"/>
      <c r="M51" s="516"/>
      <c r="N51" s="397"/>
      <c r="O51" s="397"/>
    </row>
    <row r="52" spans="1:16" s="392" customFormat="1" ht="12" customHeight="1" x14ac:dyDescent="0.2">
      <c r="A52" s="392" t="str">
        <f>IF(KPA!$O$21="leer","Ausblenden","Einblenden")</f>
        <v>Ausblenden</v>
      </c>
      <c r="C52" s="513"/>
      <c r="D52" s="695" t="str">
        <f>"Fläche 1) Fläche in m² x Bodenrichtwert in €"&amp;IF(K16&gt;0," x  Miteigentumsanteil","")</f>
        <v>Fläche 1) Fläche in m² x Bodenrichtwert in €</v>
      </c>
      <c r="E52" s="696"/>
      <c r="F52" s="696"/>
      <c r="G52" s="696"/>
      <c r="H52" s="696"/>
      <c r="I52" s="696"/>
      <c r="J52" s="696"/>
      <c r="K52" s="435"/>
      <c r="L52" s="436"/>
      <c r="M52" s="516"/>
      <c r="N52" s="397"/>
      <c r="O52" s="397"/>
    </row>
    <row r="53" spans="1:16" s="392" customFormat="1" ht="12" customHeight="1" x14ac:dyDescent="0.2">
      <c r="A53" s="392" t="str">
        <f>IF(KPA!$O$21="leer","Ausblenden","Einblenden")</f>
        <v>Ausblenden</v>
      </c>
      <c r="C53" s="513"/>
      <c r="D53" s="691" t="str">
        <f>ROUND(G17,0)&amp;" m² x "&amp;ROUND(K17,0)&amp;" €"</f>
        <v>0 m² x 0 €</v>
      </c>
      <c r="E53" s="692"/>
      <c r="F53" s="697" t="str">
        <f>IF(K16&gt;0," x  Miteigentumsanteil ("&amp;G16&amp;"/"&amp;K16&amp;")  =","=")</f>
        <v>=</v>
      </c>
      <c r="G53" s="697"/>
      <c r="H53" s="697"/>
      <c r="I53" s="697"/>
      <c r="J53" s="697"/>
      <c r="K53" s="727">
        <f>IF(K16&gt;0,ROUND(G17,0)*ROUND(K17,0)*(G16/K16),ROUND(G17,0)*ROUND(K17,0))</f>
        <v>0</v>
      </c>
      <c r="L53" s="728"/>
      <c r="M53" s="516"/>
      <c r="N53" s="397"/>
      <c r="O53" s="397"/>
    </row>
    <row r="54" spans="1:16" s="392" customFormat="1" ht="12" customHeight="1" x14ac:dyDescent="0.2">
      <c r="C54" s="513"/>
      <c r="D54" s="695" t="str">
        <f>IF(G20=0,"","Fläche 2) Fläche in m² x Bodenrichtwert in €"&amp;IF(K16&gt;0," x  Miteigentumsanteil",""))</f>
        <v/>
      </c>
      <c r="E54" s="696"/>
      <c r="F54" s="696"/>
      <c r="G54" s="696"/>
      <c r="H54" s="696"/>
      <c r="I54" s="696"/>
      <c r="J54" s="696"/>
      <c r="K54" s="661"/>
      <c r="L54" s="662"/>
      <c r="M54" s="516"/>
      <c r="N54" s="397"/>
      <c r="O54" s="397"/>
    </row>
    <row r="55" spans="1:16" s="392" customFormat="1" ht="12" customHeight="1" x14ac:dyDescent="0.2">
      <c r="A55" s="392" t="str">
        <f>IF(KPA!$O$21="leer","Ausblenden","Einblenden")</f>
        <v>Ausblenden</v>
      </c>
      <c r="C55" s="513"/>
      <c r="D55" s="693" t="str">
        <f>IF(G20=0,"",ROUND(G20,0)&amp;" m² x "&amp;ROUND(K20,0)&amp;" €")</f>
        <v/>
      </c>
      <c r="E55" s="694"/>
      <c r="F55" s="698" t="str">
        <f>IF(G20=0,"",IF(K16&gt;0," x  Miteigentumsanteil ("&amp;G16&amp;"/"&amp;K16&amp;")  =","="))</f>
        <v/>
      </c>
      <c r="G55" s="698"/>
      <c r="H55" s="698"/>
      <c r="I55" s="698"/>
      <c r="J55" s="698"/>
      <c r="K55" s="727">
        <f>IF(K16&gt;0,ROUND(G20,0)*ROUND(K20,0)*(G16/K16),ROUND(G20,0)*ROUND(K20,0))</f>
        <v>0</v>
      </c>
      <c r="L55" s="728"/>
      <c r="M55" s="516"/>
      <c r="N55" s="397"/>
      <c r="O55" s="397"/>
    </row>
    <row r="56" spans="1:16" s="392" customFormat="1" ht="12" customHeight="1" thickBot="1" x14ac:dyDescent="0.25">
      <c r="A56" s="392" t="str">
        <f>IF(KPA!$O$21="leer","Ausblenden","Einblenden")</f>
        <v>Ausblenden</v>
      </c>
      <c r="C56" s="513"/>
      <c r="D56" s="438"/>
      <c r="E56" s="439"/>
      <c r="F56" s="439"/>
      <c r="G56" s="439"/>
      <c r="H56" s="439"/>
      <c r="I56" s="439"/>
      <c r="J56" s="439"/>
      <c r="K56" s="440"/>
      <c r="L56" s="441"/>
      <c r="M56" s="516"/>
      <c r="N56" s="397"/>
      <c r="O56" s="397"/>
    </row>
    <row r="57" spans="1:16" s="392" customFormat="1" ht="12" customHeight="1" thickBot="1" x14ac:dyDescent="0.25">
      <c r="A57" s="392" t="str">
        <f>IF(KPA!$O$21="leer","Ausblenden","Einblenden")</f>
        <v>Ausblenden</v>
      </c>
      <c r="C57" s="513"/>
      <c r="D57" s="663" t="s">
        <v>88</v>
      </c>
      <c r="E57" s="664"/>
      <c r="F57" s="664"/>
      <c r="G57" s="437"/>
      <c r="H57" s="437"/>
      <c r="I57" s="437"/>
      <c r="J57" s="442"/>
      <c r="K57" s="725">
        <f>K53+K55</f>
        <v>0</v>
      </c>
      <c r="L57" s="726"/>
      <c r="M57" s="516"/>
      <c r="N57" s="397"/>
      <c r="O57" s="397"/>
    </row>
    <row r="58" spans="1:16" s="392" customFormat="1" ht="12" customHeight="1" thickTop="1" thickBot="1" x14ac:dyDescent="0.25">
      <c r="A58" s="392" t="str">
        <f>IF(KPA!$O$21="leer","Ausblenden","Einblenden")</f>
        <v>Ausblenden</v>
      </c>
      <c r="C58" s="513"/>
      <c r="D58" s="443"/>
      <c r="E58" s="444"/>
      <c r="F58" s="444"/>
      <c r="G58" s="445"/>
      <c r="H58" s="445"/>
      <c r="I58" s="445"/>
      <c r="J58" s="446"/>
      <c r="K58" s="447"/>
      <c r="L58" s="448"/>
      <c r="M58" s="516"/>
      <c r="N58" s="397"/>
      <c r="O58" s="397"/>
    </row>
    <row r="59" spans="1:16" s="392" customFormat="1" ht="7.5" customHeight="1" thickBot="1" x14ac:dyDescent="0.25">
      <c r="A59" s="392" t="str">
        <f>IF(KPA!$O$21="leer","Ausblenden","Einblenden")</f>
        <v>Ausblenden</v>
      </c>
      <c r="C59" s="513"/>
      <c r="D59" s="571"/>
      <c r="E59" s="571"/>
      <c r="F59" s="571"/>
      <c r="G59" s="571"/>
      <c r="H59" s="571"/>
      <c r="I59" s="571"/>
      <c r="J59" s="572"/>
      <c r="K59" s="574"/>
      <c r="L59" s="574"/>
      <c r="M59" s="516"/>
      <c r="N59" s="397"/>
      <c r="O59" s="397"/>
    </row>
    <row r="60" spans="1:16" s="392" customFormat="1" ht="19.5" customHeight="1" x14ac:dyDescent="0.2">
      <c r="A60" s="392" t="str">
        <f t="shared" ref="A60:A73" si="1">IF(A$43="Einblenden",IF(O$21="leer","Ausblenden","Einblenden"),"Ausblenden")</f>
        <v>Ausblenden</v>
      </c>
      <c r="C60" s="513"/>
      <c r="D60" s="751" t="s">
        <v>261</v>
      </c>
      <c r="E60" s="752"/>
      <c r="F60" s="752"/>
      <c r="G60" s="752"/>
      <c r="H60" s="752"/>
      <c r="I60" s="752"/>
      <c r="J60" s="752"/>
      <c r="K60" s="752"/>
      <c r="L60" s="753"/>
      <c r="M60" s="516"/>
      <c r="N60" s="397"/>
      <c r="O60" s="397"/>
    </row>
    <row r="61" spans="1:16" s="398" customFormat="1" ht="12" customHeight="1" x14ac:dyDescent="0.2">
      <c r="A61" s="392" t="str">
        <f t="shared" si="1"/>
        <v>Ausblenden</v>
      </c>
      <c r="C61" s="580"/>
      <c r="D61" s="754" t="s">
        <v>146</v>
      </c>
      <c r="E61" s="755"/>
      <c r="F61" s="755"/>
      <c r="G61" s="455" t="s">
        <v>160</v>
      </c>
      <c r="H61" s="456" t="s">
        <v>121</v>
      </c>
      <c r="I61" s="456"/>
      <c r="J61" s="455"/>
      <c r="K61" s="457"/>
      <c r="L61" s="458"/>
      <c r="M61" s="577"/>
      <c r="N61" s="399"/>
      <c r="O61" s="399"/>
    </row>
    <row r="62" spans="1:16" s="400" customFormat="1" ht="12" customHeight="1" x14ac:dyDescent="0.2">
      <c r="A62" s="392" t="str">
        <f t="shared" si="1"/>
        <v>Ausblenden</v>
      </c>
      <c r="C62" s="581"/>
      <c r="D62" s="459" t="e">
        <f>ROUND('SW-NHK'!F80,0)</f>
        <v>#N/A</v>
      </c>
      <c r="E62" s="460"/>
      <c r="F62" s="461"/>
      <c r="G62" s="462" t="s">
        <v>60</v>
      </c>
      <c r="H62" s="463">
        <f>ROUND(K11,0)</f>
        <v>0</v>
      </c>
      <c r="I62" s="464"/>
      <c r="J62" s="465" t="s">
        <v>61</v>
      </c>
      <c r="K62" s="749" t="e">
        <f>D62*H62</f>
        <v>#N/A</v>
      </c>
      <c r="L62" s="750"/>
      <c r="M62" s="578"/>
      <c r="N62" s="401"/>
      <c r="O62" s="401"/>
    </row>
    <row r="63" spans="1:16" s="398" customFormat="1" ht="12" customHeight="1" x14ac:dyDescent="0.2">
      <c r="A63" s="392" t="str">
        <f t="shared" si="1"/>
        <v>Ausblenden</v>
      </c>
      <c r="C63" s="580"/>
      <c r="D63" s="754" t="str">
        <f>IF(G13&gt;0,"Garagenstellplätze*","")</f>
        <v/>
      </c>
      <c r="E63" s="755"/>
      <c r="F63" s="755"/>
      <c r="G63" s="455" t="str">
        <f>IF(G13&gt;0,"x","")</f>
        <v/>
      </c>
      <c r="H63" s="755" t="str">
        <f>IF(G13&gt;0,"Anzahl","")</f>
        <v/>
      </c>
      <c r="I63" s="755"/>
      <c r="J63" s="755"/>
      <c r="K63" s="756"/>
      <c r="L63" s="757"/>
      <c r="M63" s="577"/>
      <c r="N63" s="399"/>
      <c r="O63" s="399"/>
    </row>
    <row r="64" spans="1:16" s="400" customFormat="1" ht="12" customHeight="1" x14ac:dyDescent="0.2">
      <c r="A64" s="392" t="str">
        <f t="shared" si="1"/>
        <v>Ausblenden</v>
      </c>
      <c r="C64" s="581"/>
      <c r="D64" s="466" t="str">
        <f>IF(G13=0,"",ROUND('SW-NHK'!G80,0))</f>
        <v/>
      </c>
      <c r="E64" s="461"/>
      <c r="F64" s="461"/>
      <c r="G64" s="465" t="str">
        <f>IF(G13=0,"","x")</f>
        <v/>
      </c>
      <c r="H64" s="463" t="str">
        <f>IF(G13=0,"",ROUND(G13,0))</f>
        <v/>
      </c>
      <c r="I64" s="464"/>
      <c r="J64" s="465" t="str">
        <f>IF(G13=0,"","=")</f>
        <v/>
      </c>
      <c r="K64" s="749" t="str">
        <f>IF(G13&gt;0,D64*H64,"")</f>
        <v/>
      </c>
      <c r="L64" s="750"/>
      <c r="M64" s="578"/>
      <c r="N64" s="401"/>
      <c r="O64" s="401"/>
    </row>
    <row r="65" spans="1:15" s="398" customFormat="1" ht="12" customHeight="1" x14ac:dyDescent="0.2">
      <c r="A65" s="392" t="str">
        <f t="shared" si="1"/>
        <v>Ausblenden</v>
      </c>
      <c r="C65" s="580"/>
      <c r="D65" s="754" t="str">
        <f>IF(K13=0,"","Tiefgaragenstellplätze*")</f>
        <v/>
      </c>
      <c r="E65" s="755"/>
      <c r="F65" s="755"/>
      <c r="G65" s="455" t="str">
        <f>IF(K13=0,"","x")</f>
        <v/>
      </c>
      <c r="H65" s="755" t="str">
        <f>IF(K13=0,"","Anzahl")</f>
        <v/>
      </c>
      <c r="I65" s="755"/>
      <c r="J65" s="755"/>
      <c r="K65" s="756"/>
      <c r="L65" s="757"/>
      <c r="M65" s="577"/>
      <c r="N65" s="399"/>
      <c r="O65" s="399"/>
    </row>
    <row r="66" spans="1:15" s="402" customFormat="1" ht="12" customHeight="1" thickBot="1" x14ac:dyDescent="0.25">
      <c r="A66" s="392" t="str">
        <f t="shared" si="1"/>
        <v>Ausblenden</v>
      </c>
      <c r="C66" s="582"/>
      <c r="D66" s="466" t="str">
        <f>IF(K13=0,"",ROUND('SW-NHK'!H80,0))</f>
        <v/>
      </c>
      <c r="E66" s="461"/>
      <c r="F66" s="461"/>
      <c r="G66" s="465" t="str">
        <f>IF(K13=0,"","x")</f>
        <v/>
      </c>
      <c r="H66" s="463" t="str">
        <f>IF(K13=0,"",ROUND(K13,0))</f>
        <v/>
      </c>
      <c r="I66" s="464"/>
      <c r="J66" s="465" t="str">
        <f>IF(K13=0,"","=")</f>
        <v/>
      </c>
      <c r="K66" s="734" t="str">
        <f>IF(K13&gt;0,D66*H66,"")</f>
        <v/>
      </c>
      <c r="L66" s="735"/>
      <c r="M66" s="579"/>
      <c r="N66" s="403"/>
      <c r="O66" s="403"/>
    </row>
    <row r="67" spans="1:15" s="398" customFormat="1" ht="12" customHeight="1" thickBot="1" x14ac:dyDescent="0.25">
      <c r="A67" s="392" t="str">
        <f t="shared" si="1"/>
        <v>Ausblenden</v>
      </c>
      <c r="C67" s="580"/>
      <c r="D67" s="758" t="s">
        <v>105</v>
      </c>
      <c r="E67" s="759"/>
      <c r="F67" s="760"/>
      <c r="G67" s="760"/>
      <c r="H67" s="760"/>
      <c r="I67" s="760"/>
      <c r="J67" s="760"/>
      <c r="K67" s="729" t="e">
        <f>SUM(K62:K66)</f>
        <v>#N/A</v>
      </c>
      <c r="L67" s="730"/>
      <c r="M67" s="577"/>
      <c r="N67" s="399"/>
      <c r="O67" s="399"/>
    </row>
    <row r="68" spans="1:15" s="392" customFormat="1" ht="12" customHeight="1" thickTop="1" x14ac:dyDescent="0.2">
      <c r="A68" s="392" t="str">
        <f t="shared" si="1"/>
        <v>Ausblenden</v>
      </c>
      <c r="C68" s="513"/>
      <c r="D68" s="761" t="s">
        <v>264</v>
      </c>
      <c r="E68" s="762"/>
      <c r="F68" s="762"/>
      <c r="G68" s="762"/>
      <c r="H68" s="762"/>
      <c r="I68" s="762"/>
      <c r="J68" s="762"/>
      <c r="K68" s="467"/>
      <c r="L68" s="468"/>
      <c r="M68" s="516"/>
      <c r="N68" s="397"/>
      <c r="O68" s="397"/>
    </row>
    <row r="69" spans="1:15" s="392" customFormat="1" ht="12" customHeight="1" x14ac:dyDescent="0.2">
      <c r="A69" s="392" t="str">
        <f t="shared" si="1"/>
        <v>Ausblenden</v>
      </c>
      <c r="C69" s="513"/>
      <c r="D69" s="469"/>
      <c r="E69" s="470"/>
      <c r="F69" s="470"/>
      <c r="G69" s="470"/>
      <c r="H69" s="470"/>
      <c r="I69" s="470"/>
      <c r="J69" s="470"/>
      <c r="K69" s="471"/>
      <c r="L69" s="472"/>
      <c r="M69" s="516"/>
      <c r="N69" s="397"/>
      <c r="O69" s="397"/>
    </row>
    <row r="70" spans="1:15" s="392" customFormat="1" ht="12" customHeight="1" x14ac:dyDescent="0.2">
      <c r="A70" s="392" t="str">
        <f t="shared" si="1"/>
        <v>Ausblenden</v>
      </c>
      <c r="C70" s="513"/>
      <c r="D70" s="473"/>
      <c r="E70" s="474"/>
      <c r="F70" s="474"/>
      <c r="G70" s="474"/>
      <c r="H70" s="474"/>
      <c r="I70" s="474"/>
      <c r="J70" s="474"/>
      <c r="K70" s="475"/>
      <c r="L70" s="476"/>
      <c r="M70" s="516"/>
      <c r="N70" s="397"/>
      <c r="O70" s="397"/>
    </row>
    <row r="71" spans="1:15" s="392" customFormat="1" ht="12" customHeight="1" thickBot="1" x14ac:dyDescent="0.25">
      <c r="A71" s="392" t="str">
        <f t="shared" si="1"/>
        <v>Ausblenden</v>
      </c>
      <c r="C71" s="513"/>
      <c r="D71" s="701" t="s">
        <v>256</v>
      </c>
      <c r="E71" s="731"/>
      <c r="F71" s="731"/>
      <c r="G71" s="731"/>
      <c r="H71" s="408"/>
      <c r="I71" s="408"/>
      <c r="J71" s="408"/>
      <c r="K71" s="732" t="e">
        <f>K67+K57</f>
        <v>#N/A</v>
      </c>
      <c r="L71" s="733"/>
      <c r="M71" s="516"/>
      <c r="N71" s="397"/>
      <c r="O71" s="397"/>
    </row>
    <row r="72" spans="1:15" s="392" customFormat="1" ht="12" customHeight="1" thickBot="1" x14ac:dyDescent="0.25">
      <c r="A72" s="392" t="str">
        <f t="shared" si="1"/>
        <v>Ausblenden</v>
      </c>
      <c r="C72" s="513"/>
      <c r="D72" s="477"/>
      <c r="E72" s="478"/>
      <c r="F72" s="478"/>
      <c r="G72" s="478"/>
      <c r="H72" s="478"/>
      <c r="I72" s="478"/>
      <c r="J72" s="478"/>
      <c r="K72" s="479"/>
      <c r="L72" s="480"/>
      <c r="M72" s="516"/>
      <c r="N72" s="397"/>
      <c r="O72" s="397"/>
    </row>
    <row r="73" spans="1:15" s="392" customFormat="1" ht="4.5" customHeight="1" thickBot="1" x14ac:dyDescent="0.25">
      <c r="A73" s="392" t="str">
        <f t="shared" si="1"/>
        <v>Ausblenden</v>
      </c>
      <c r="C73" s="513"/>
      <c r="D73" s="583"/>
      <c r="E73" s="583"/>
      <c r="F73" s="583"/>
      <c r="G73" s="583"/>
      <c r="H73" s="583"/>
      <c r="I73" s="583"/>
      <c r="J73" s="583"/>
      <c r="K73" s="584"/>
      <c r="L73" s="585"/>
      <c r="M73" s="516"/>
      <c r="N73" s="397"/>
      <c r="O73" s="397"/>
    </row>
    <row r="74" spans="1:15" s="392" customFormat="1" ht="12" customHeight="1" x14ac:dyDescent="0.2">
      <c r="A74" s="392" t="str">
        <f>IF(A$39="Einblenden","Einblenden","Ausblenden")</f>
        <v>Ausblenden</v>
      </c>
      <c r="C74" s="513"/>
      <c r="D74" s="723" t="s">
        <v>242</v>
      </c>
      <c r="E74" s="724"/>
      <c r="F74" s="724"/>
      <c r="G74" s="724"/>
      <c r="H74" s="724"/>
      <c r="I74" s="724"/>
      <c r="J74" s="724"/>
      <c r="K74" s="481"/>
      <c r="L74" s="482"/>
      <c r="M74" s="516"/>
      <c r="N74" s="397"/>
      <c r="O74" s="397"/>
    </row>
    <row r="75" spans="1:15" s="392" customFormat="1" ht="6.75" customHeight="1" x14ac:dyDescent="0.2">
      <c r="A75" s="392" t="str">
        <f>IF(A$39="Einblenden","Einblenden","Ausblenden")</f>
        <v>Ausblenden</v>
      </c>
      <c r="C75" s="513"/>
      <c r="D75" s="483"/>
      <c r="E75" s="484"/>
      <c r="F75" s="484"/>
      <c r="G75" s="484"/>
      <c r="H75" s="484"/>
      <c r="I75" s="484"/>
      <c r="J75" s="484"/>
      <c r="K75" s="449"/>
      <c r="L75" s="485"/>
      <c r="M75" s="516"/>
      <c r="N75" s="397"/>
      <c r="O75" s="397"/>
    </row>
    <row r="76" spans="1:15" s="392" customFormat="1" ht="12.75" customHeight="1" x14ac:dyDescent="0.2">
      <c r="A76" s="392" t="str">
        <f>IF(A$39="Einblenden","Einblenden","Ausblenden")</f>
        <v>Ausblenden</v>
      </c>
      <c r="C76" s="513"/>
      <c r="D76" s="699" t="s">
        <v>243</v>
      </c>
      <c r="E76" s="700"/>
      <c r="F76" s="700"/>
      <c r="G76" s="700"/>
      <c r="H76" s="700"/>
      <c r="I76" s="700"/>
      <c r="J76" s="700"/>
      <c r="K76" s="449">
        <f>G39*12</f>
        <v>0</v>
      </c>
      <c r="L76" s="485"/>
      <c r="M76" s="516"/>
      <c r="N76" s="397"/>
      <c r="O76" s="397"/>
    </row>
    <row r="77" spans="1:15" s="392" customFormat="1" ht="3" customHeight="1" x14ac:dyDescent="0.2">
      <c r="A77" s="431" t="str">
        <f t="shared" ref="A77" si="2">IF(A$35="Einblenden","Einblenden","Ausblenden")</f>
        <v>Ausblenden</v>
      </c>
      <c r="C77" s="513"/>
      <c r="D77" s="654"/>
      <c r="E77" s="655"/>
      <c r="F77" s="655"/>
      <c r="G77" s="655"/>
      <c r="H77" s="655"/>
      <c r="I77" s="655"/>
      <c r="J77" s="655"/>
      <c r="K77" s="449"/>
      <c r="L77" s="485"/>
      <c r="M77" s="516"/>
      <c r="N77" s="397"/>
      <c r="O77" s="397"/>
    </row>
    <row r="78" spans="1:15" s="392" customFormat="1" ht="3" customHeight="1" x14ac:dyDescent="0.2">
      <c r="A78" s="431" t="s">
        <v>274</v>
      </c>
      <c r="C78" s="513"/>
      <c r="D78" s="658" t="s">
        <v>252</v>
      </c>
      <c r="E78" s="450"/>
      <c r="F78" s="450"/>
      <c r="G78" s="450"/>
      <c r="H78" s="450"/>
      <c r="I78" s="450"/>
      <c r="J78" s="450"/>
      <c r="K78" s="450" t="e">
        <f>'SW-NHK'!F76</f>
        <v>#N/A</v>
      </c>
      <c r="L78" s="485"/>
      <c r="M78" s="516"/>
      <c r="N78" s="397"/>
      <c r="O78" s="397"/>
    </row>
    <row r="79" spans="1:15" s="392" customFormat="1" ht="3" customHeight="1" x14ac:dyDescent="0.2">
      <c r="A79" s="431" t="str">
        <f>"Ausblenden"</f>
        <v>Ausblenden</v>
      </c>
      <c r="C79" s="513"/>
      <c r="D79" s="486"/>
      <c r="E79" s="487"/>
      <c r="F79" s="487"/>
      <c r="G79" s="487"/>
      <c r="H79" s="487"/>
      <c r="I79" s="487"/>
      <c r="J79" s="487"/>
      <c r="K79" s="450" t="e">
        <f>IF(K78&lt;20,5,IF(K78&lt;=39,4,IF(K78&lt;=59,3,2)))</f>
        <v>#N/A</v>
      </c>
      <c r="L79" s="485"/>
      <c r="M79" s="516"/>
      <c r="N79" s="397"/>
      <c r="O79" s="397"/>
    </row>
    <row r="80" spans="1:15" s="392" customFormat="1" ht="3" customHeight="1" x14ac:dyDescent="0.2">
      <c r="A80" s="431" t="str">
        <f>"Ausblenden"</f>
        <v>Ausblenden</v>
      </c>
      <c r="C80" s="513"/>
      <c r="D80" s="486"/>
      <c r="E80" s="487"/>
      <c r="F80" s="487"/>
      <c r="G80" s="487"/>
      <c r="H80" s="487"/>
      <c r="I80" s="487"/>
      <c r="J80" s="487"/>
      <c r="K80" s="450"/>
      <c r="L80" s="485"/>
      <c r="M80" s="516"/>
      <c r="N80" s="397"/>
      <c r="O80" s="397"/>
    </row>
    <row r="81" spans="1:15" s="392" customFormat="1" ht="12.75" customHeight="1" x14ac:dyDescent="0.2">
      <c r="A81" s="392" t="str">
        <f>IF(A$39="Einblenden","Einblenden","Ausblenden")</f>
        <v>Ausblenden</v>
      </c>
      <c r="C81" s="513"/>
      <c r="D81" s="699" t="s">
        <v>331</v>
      </c>
      <c r="E81" s="700"/>
      <c r="F81" s="700"/>
      <c r="G81" s="700"/>
      <c r="H81" s="700"/>
      <c r="I81" s="700"/>
      <c r="J81" s="700"/>
      <c r="K81" s="451" t="e">
        <f>VLOOKUP(E7,'EW-Bewertungsparameter'!A8:E67,K79,0)/100</f>
        <v>#N/A</v>
      </c>
      <c r="L81" s="485"/>
      <c r="M81" s="516"/>
      <c r="N81" s="397"/>
      <c r="O81" s="397"/>
    </row>
    <row r="82" spans="1:15" s="392" customFormat="1" ht="16.5" customHeight="1" x14ac:dyDescent="0.2">
      <c r="A82" s="392" t="str">
        <f t="shared" ref="A82:A88" si="3">IF(A$39="Einblenden","Einblenden","Ausblenden")</f>
        <v>Ausblenden</v>
      </c>
      <c r="C82" s="513"/>
      <c r="D82" s="486"/>
      <c r="E82" s="487"/>
      <c r="F82" s="487"/>
      <c r="G82" s="487"/>
      <c r="H82" s="487"/>
      <c r="I82" s="487"/>
      <c r="J82" s="487"/>
      <c r="K82" s="449"/>
      <c r="L82" s="485"/>
      <c r="M82" s="516"/>
      <c r="N82" s="397"/>
      <c r="O82" s="397"/>
    </row>
    <row r="83" spans="1:15" s="392" customFormat="1" ht="12.75" customHeight="1" x14ac:dyDescent="0.2">
      <c r="A83" s="392" t="str">
        <f t="shared" si="3"/>
        <v>Ausblenden</v>
      </c>
      <c r="C83" s="513"/>
      <c r="D83" s="699" t="s">
        <v>249</v>
      </c>
      <c r="E83" s="700"/>
      <c r="F83" s="700"/>
      <c r="G83" s="700"/>
      <c r="H83" s="700"/>
      <c r="I83" s="700"/>
      <c r="J83" s="700"/>
      <c r="K83" s="449" t="e">
        <f>K76*(1-K81)</f>
        <v>#N/A</v>
      </c>
      <c r="L83" s="485"/>
      <c r="M83" s="516"/>
      <c r="N83" s="397"/>
      <c r="O83" s="397"/>
    </row>
    <row r="84" spans="1:15" s="392" customFormat="1" ht="5.25" customHeight="1" x14ac:dyDescent="0.2">
      <c r="A84" s="431" t="s">
        <v>274</v>
      </c>
      <c r="C84" s="513"/>
      <c r="D84" s="716"/>
      <c r="E84" s="717"/>
      <c r="F84" s="717"/>
      <c r="G84" s="717"/>
      <c r="H84" s="717"/>
      <c r="I84" s="717"/>
      <c r="J84" s="717"/>
      <c r="K84" s="616">
        <f>IF(G10&lt;2010,7,IF(G10&gt;2017,16,G10-2002))</f>
        <v>7</v>
      </c>
      <c r="L84" s="485"/>
      <c r="M84" s="516"/>
      <c r="N84" s="397"/>
      <c r="O84" s="397"/>
    </row>
    <row r="85" spans="1:15" s="392" customFormat="1" ht="5.25" customHeight="1" x14ac:dyDescent="0.2">
      <c r="A85" s="431" t="s">
        <v>274</v>
      </c>
      <c r="C85" s="513"/>
      <c r="D85" s="716" t="s">
        <v>259</v>
      </c>
      <c r="E85" s="717"/>
      <c r="F85" s="717"/>
      <c r="G85" s="717"/>
      <c r="H85" s="717"/>
      <c r="I85" s="717"/>
      <c r="J85" s="717"/>
      <c r="K85" s="616" t="e">
        <f>IF(K36="",VLOOKUP(KPA!E7,'EW-Bewertungsparameter'!A8:P67,K84,0),ROUND(K36,2))</f>
        <v>#N/A</v>
      </c>
      <c r="L85" s="485"/>
      <c r="M85" s="516"/>
      <c r="N85" s="397"/>
      <c r="O85" s="397"/>
    </row>
    <row r="86" spans="1:15" s="392" customFormat="1" ht="12.75" customHeight="1" x14ac:dyDescent="0.2">
      <c r="A86" s="392" t="str">
        <f t="shared" si="3"/>
        <v>Ausblenden</v>
      </c>
      <c r="C86" s="513"/>
      <c r="D86" s="699" t="e">
        <f>"./. Bodenwertverzinsung (nur Fläche 1 ["&amp;D53&amp;"qm x "&amp;H53&amp;"€]; Zinssatz "&amp;K85&amp;"%)"</f>
        <v>#N/A</v>
      </c>
      <c r="E86" s="700"/>
      <c r="F86" s="700"/>
      <c r="G86" s="700"/>
      <c r="H86" s="700"/>
      <c r="I86" s="700"/>
      <c r="J86" s="700"/>
      <c r="K86" s="449" t="e">
        <f>K53*K85/100</f>
        <v>#N/A</v>
      </c>
      <c r="L86" s="485"/>
      <c r="M86" s="516"/>
      <c r="N86" s="397"/>
      <c r="O86" s="397"/>
    </row>
    <row r="87" spans="1:15" s="392" customFormat="1" ht="6.75" customHeight="1" x14ac:dyDescent="0.2">
      <c r="A87" s="392" t="str">
        <f t="shared" si="3"/>
        <v>Ausblenden</v>
      </c>
      <c r="C87" s="513"/>
      <c r="D87" s="486"/>
      <c r="E87" s="487"/>
      <c r="F87" s="487"/>
      <c r="G87" s="487"/>
      <c r="H87" s="487"/>
      <c r="I87" s="487"/>
      <c r="J87" s="487"/>
      <c r="K87" s="449"/>
      <c r="L87" s="485"/>
      <c r="M87" s="516"/>
      <c r="N87" s="397"/>
      <c r="O87" s="397"/>
    </row>
    <row r="88" spans="1:15" s="392" customFormat="1" ht="11.25" customHeight="1" x14ac:dyDescent="0.2">
      <c r="A88" s="392" t="str">
        <f t="shared" si="3"/>
        <v>Ausblenden</v>
      </c>
      <c r="C88" s="513"/>
      <c r="D88" s="699" t="s">
        <v>250</v>
      </c>
      <c r="E88" s="700"/>
      <c r="F88" s="700"/>
      <c r="G88" s="700"/>
      <c r="H88" s="700"/>
      <c r="I88" s="700"/>
      <c r="J88" s="700"/>
      <c r="K88" s="449" t="e">
        <f>K83-K86</f>
        <v>#N/A</v>
      </c>
      <c r="L88" s="485"/>
      <c r="M88" s="516"/>
      <c r="N88" s="397"/>
      <c r="O88" s="397"/>
    </row>
    <row r="89" spans="1:15" s="392" customFormat="1" ht="3.75" customHeight="1" x14ac:dyDescent="0.2">
      <c r="A89" s="431" t="s">
        <v>274</v>
      </c>
      <c r="C89" s="513"/>
      <c r="D89" s="699" t="s">
        <v>252</v>
      </c>
      <c r="E89" s="700"/>
      <c r="F89" s="700"/>
      <c r="G89" s="700"/>
      <c r="H89" s="700"/>
      <c r="I89" s="700"/>
      <c r="J89" s="700"/>
      <c r="K89" s="450" t="e">
        <f>'SW-NHK'!F76</f>
        <v>#N/A</v>
      </c>
      <c r="L89" s="488"/>
      <c r="M89" s="516"/>
      <c r="N89" s="397"/>
      <c r="O89" s="397"/>
    </row>
    <row r="90" spans="1:15" s="392" customFormat="1" ht="3.75" customHeight="1" x14ac:dyDescent="0.2">
      <c r="A90" s="431" t="s">
        <v>274</v>
      </c>
      <c r="C90" s="513"/>
      <c r="D90" s="486" t="s">
        <v>251</v>
      </c>
      <c r="E90" s="487"/>
      <c r="F90" s="487"/>
      <c r="G90" s="487"/>
      <c r="H90" s="487"/>
      <c r="I90" s="487"/>
      <c r="J90" s="487"/>
      <c r="K90" s="452" t="e">
        <f>ROUND(((1+K85/100)^K89-1)/((1+K85/100)^K89*((1+K85/100)-1)),2)</f>
        <v>#N/A</v>
      </c>
      <c r="L90" s="485"/>
      <c r="M90" s="516"/>
      <c r="N90" s="397"/>
      <c r="O90" s="397"/>
    </row>
    <row r="91" spans="1:15" s="392" customFormat="1" ht="12" customHeight="1" x14ac:dyDescent="0.2">
      <c r="A91" s="392" t="str">
        <f>IF(A$39="Einblenden","Einblenden","Ausblenden")</f>
        <v>Ausblenden</v>
      </c>
      <c r="C91" s="513"/>
      <c r="D91" s="699" t="e">
        <f>"Kapitalisierung (Zinssatz: "&amp;K85&amp;"%; Restnutzungsdauer: "&amp;K89&amp;" Jahre; Kapitalisierungsfaktor: "&amp;K90&amp;")"</f>
        <v>#N/A</v>
      </c>
      <c r="E91" s="700"/>
      <c r="F91" s="700"/>
      <c r="G91" s="700"/>
      <c r="H91" s="700"/>
      <c r="I91" s="700"/>
      <c r="J91" s="700"/>
      <c r="K91" s="449"/>
      <c r="L91" s="485"/>
      <c r="M91" s="516"/>
      <c r="N91" s="397"/>
      <c r="O91" s="397"/>
    </row>
    <row r="92" spans="1:15" s="392" customFormat="1" ht="6.75" customHeight="1" x14ac:dyDescent="0.2">
      <c r="A92" s="392" t="str">
        <f t="shared" ref="A92:A97" si="4">IF(A$39="Einblenden","Einblenden","Ausblenden")</f>
        <v>Ausblenden</v>
      </c>
      <c r="C92" s="513"/>
      <c r="D92" s="486"/>
      <c r="E92" s="487"/>
      <c r="F92" s="487"/>
      <c r="G92" s="487"/>
      <c r="H92" s="487"/>
      <c r="I92" s="487"/>
      <c r="J92" s="487"/>
      <c r="K92" s="449"/>
      <c r="L92" s="485"/>
      <c r="M92" s="516"/>
      <c r="N92" s="397"/>
      <c r="O92" s="397"/>
    </row>
    <row r="93" spans="1:15" s="392" customFormat="1" ht="12" customHeight="1" x14ac:dyDescent="0.2">
      <c r="A93" s="392" t="str">
        <f t="shared" si="4"/>
        <v>Ausblenden</v>
      </c>
      <c r="C93" s="513"/>
      <c r="D93" s="699" t="s">
        <v>253</v>
      </c>
      <c r="E93" s="700"/>
      <c r="F93" s="700"/>
      <c r="G93" s="700"/>
      <c r="H93" s="700"/>
      <c r="I93" s="700"/>
      <c r="J93" s="700"/>
      <c r="K93" s="449" t="e">
        <f>K88*K90</f>
        <v>#N/A</v>
      </c>
      <c r="L93" s="485"/>
      <c r="M93" s="516"/>
      <c r="N93" s="397"/>
      <c r="O93" s="397"/>
    </row>
    <row r="94" spans="1:15" s="392" customFormat="1" ht="6.75" customHeight="1" x14ac:dyDescent="0.2">
      <c r="A94" s="392" t="str">
        <f t="shared" si="4"/>
        <v>Ausblenden</v>
      </c>
      <c r="C94" s="513"/>
      <c r="D94" s="486"/>
      <c r="E94" s="487"/>
      <c r="F94" s="487"/>
      <c r="G94" s="487"/>
      <c r="H94" s="487"/>
      <c r="I94" s="487"/>
      <c r="J94" s="487"/>
      <c r="K94" s="449"/>
      <c r="L94" s="485"/>
      <c r="M94" s="516"/>
      <c r="N94" s="397"/>
      <c r="O94" s="397"/>
    </row>
    <row r="95" spans="1:15" s="392" customFormat="1" ht="12" customHeight="1" x14ac:dyDescent="0.2">
      <c r="A95" s="392" t="str">
        <f t="shared" si="4"/>
        <v>Ausblenden</v>
      </c>
      <c r="C95" s="513"/>
      <c r="D95" s="699" t="s">
        <v>254</v>
      </c>
      <c r="E95" s="700"/>
      <c r="F95" s="700"/>
      <c r="G95" s="700"/>
      <c r="H95" s="700"/>
      <c r="I95" s="700"/>
      <c r="J95" s="700"/>
      <c r="K95" s="453">
        <f>K57</f>
        <v>0</v>
      </c>
      <c r="L95" s="485"/>
      <c r="M95" s="516"/>
      <c r="N95" s="397"/>
      <c r="O95" s="397"/>
    </row>
    <row r="96" spans="1:15" s="392" customFormat="1" ht="7.5" customHeight="1" x14ac:dyDescent="0.2">
      <c r="A96" s="392" t="str">
        <f t="shared" si="4"/>
        <v>Ausblenden</v>
      </c>
      <c r="C96" s="513"/>
      <c r="D96" s="483"/>
      <c r="E96" s="484"/>
      <c r="F96" s="484"/>
      <c r="G96" s="484"/>
      <c r="H96" s="484"/>
      <c r="I96" s="484"/>
      <c r="J96" s="484"/>
      <c r="K96" s="449"/>
      <c r="L96" s="485"/>
      <c r="M96" s="516"/>
      <c r="N96" s="397"/>
      <c r="O96" s="397"/>
    </row>
    <row r="97" spans="1:15" s="392" customFormat="1" ht="18" customHeight="1" thickBot="1" x14ac:dyDescent="0.25">
      <c r="A97" s="392" t="str">
        <f t="shared" si="4"/>
        <v>Ausblenden</v>
      </c>
      <c r="C97" s="513"/>
      <c r="D97" s="489" t="s">
        <v>255</v>
      </c>
      <c r="E97" s="490"/>
      <c r="F97" s="490"/>
      <c r="G97" s="490"/>
      <c r="H97" s="490"/>
      <c r="I97" s="490"/>
      <c r="J97" s="490"/>
      <c r="K97" s="454" t="e">
        <f>K93+K95</f>
        <v>#N/A</v>
      </c>
      <c r="L97" s="491"/>
      <c r="M97" s="516"/>
      <c r="N97" s="397"/>
      <c r="O97" s="397"/>
    </row>
    <row r="98" spans="1:15" s="392" customFormat="1" ht="4.5" customHeight="1" thickBot="1" x14ac:dyDescent="0.25">
      <c r="A98" s="392" t="str">
        <f>IF(A$39="Einblenden",IF(O$21="leer","Ausblenden","Einblenden"),"Ausblenden")</f>
        <v>Ausblenden</v>
      </c>
      <c r="C98" s="513"/>
      <c r="D98" s="583"/>
      <c r="E98" s="583"/>
      <c r="F98" s="583"/>
      <c r="G98" s="583"/>
      <c r="H98" s="583"/>
      <c r="I98" s="583"/>
      <c r="J98" s="583"/>
      <c r="K98" s="584"/>
      <c r="L98" s="585"/>
      <c r="M98" s="516"/>
      <c r="N98" s="397"/>
      <c r="O98" s="397"/>
    </row>
    <row r="99" spans="1:15" s="392" customFormat="1" ht="12" customHeight="1" x14ac:dyDescent="0.2">
      <c r="A99" s="392" t="str">
        <f t="shared" ref="A99:A109" si="5">IF(A$28="Einblenden","Einblenden","Ausblenden")</f>
        <v>Ausblenden</v>
      </c>
      <c r="C99" s="513"/>
      <c r="D99" s="710" t="s">
        <v>257</v>
      </c>
      <c r="E99" s="711"/>
      <c r="F99" s="711"/>
      <c r="G99" s="711"/>
      <c r="H99" s="711"/>
      <c r="I99" s="711"/>
      <c r="J99" s="711"/>
      <c r="K99" s="492"/>
      <c r="L99" s="493"/>
      <c r="M99" s="516"/>
      <c r="N99" s="397"/>
      <c r="O99" s="397"/>
    </row>
    <row r="100" spans="1:15" s="392" customFormat="1" ht="12" customHeight="1" x14ac:dyDescent="0.2">
      <c r="A100" s="392" t="str">
        <f t="shared" si="5"/>
        <v>Ausblenden</v>
      </c>
      <c r="C100" s="513"/>
      <c r="D100" s="494"/>
      <c r="E100" s="495"/>
      <c r="F100" s="495"/>
      <c r="G100" s="495"/>
      <c r="H100" s="495"/>
      <c r="I100" s="495"/>
      <c r="J100" s="495"/>
      <c r="K100" s="496"/>
      <c r="L100" s="497"/>
      <c r="M100" s="516"/>
      <c r="N100" s="397"/>
      <c r="O100" s="397"/>
    </row>
    <row r="101" spans="1:15" s="392" customFormat="1" ht="12" customHeight="1" x14ac:dyDescent="0.2">
      <c r="A101" s="392" t="str">
        <f t="shared" si="5"/>
        <v>Ausblenden</v>
      </c>
      <c r="C101" s="513"/>
      <c r="D101" s="712" t="s">
        <v>326</v>
      </c>
      <c r="E101" s="713"/>
      <c r="F101" s="713"/>
      <c r="G101" s="713"/>
      <c r="H101" s="713"/>
      <c r="I101" s="713"/>
      <c r="J101" s="713"/>
      <c r="K101" s="498">
        <f>ROUND(G28,0)</f>
        <v>0</v>
      </c>
      <c r="L101" s="497"/>
      <c r="M101" s="516"/>
      <c r="N101" s="397"/>
      <c r="O101" s="397"/>
    </row>
    <row r="102" spans="1:15" s="392" customFormat="1" ht="9" customHeight="1" x14ac:dyDescent="0.2">
      <c r="A102" s="392" t="str">
        <f t="shared" si="5"/>
        <v>Ausblenden</v>
      </c>
      <c r="C102" s="513"/>
      <c r="D102" s="499"/>
      <c r="E102" s="500"/>
      <c r="F102" s="500"/>
      <c r="G102" s="500"/>
      <c r="H102" s="500"/>
      <c r="I102" s="500"/>
      <c r="J102" s="500"/>
      <c r="K102" s="501"/>
      <c r="L102" s="497"/>
      <c r="M102" s="516"/>
      <c r="N102" s="397"/>
      <c r="O102" s="397"/>
    </row>
    <row r="103" spans="1:15" s="392" customFormat="1" ht="12" customHeight="1" x14ac:dyDescent="0.2">
      <c r="A103" s="392" t="str">
        <f t="shared" si="5"/>
        <v>Ausblenden</v>
      </c>
      <c r="C103" s="513"/>
      <c r="D103" s="712" t="str">
        <f>IF(K26="Wohn- bzw. Nutzfläche","Multiplikation mit Wohn- bzw. Nutzfläche ("&amp;K11&amp;" m²   x   "&amp;K101&amp;" €/m²) =","Multiplikation mit Bruttogrundfläche (gemäß Gebäudetyp geschätzt;  "&amp;K11&amp;" m²  x Faktor "&amp;'SW-NHK'!F72&amp;"  x  "&amp;K101&amp;" €/m²) =")</f>
        <v>Multiplikation mit Wohn- bzw. Nutzfläche ( m²   x   0 €/m²) =</v>
      </c>
      <c r="E103" s="713"/>
      <c r="F103" s="713"/>
      <c r="G103" s="713"/>
      <c r="H103" s="713"/>
      <c r="I103" s="713"/>
      <c r="J103" s="713"/>
      <c r="K103" s="502">
        <f>IF(K26="Wohn- bzw. Nutzfläche",K101*K11,K101*K11*'SW-NHK'!F72)</f>
        <v>0</v>
      </c>
      <c r="L103" s="497"/>
      <c r="M103" s="516"/>
      <c r="N103" s="397"/>
      <c r="O103" s="652"/>
    </row>
    <row r="104" spans="1:15" s="392" customFormat="1" ht="9" customHeight="1" x14ac:dyDescent="0.2">
      <c r="A104" s="392" t="str">
        <f t="shared" si="5"/>
        <v>Ausblenden</v>
      </c>
      <c r="C104" s="513"/>
      <c r="D104" s="499"/>
      <c r="E104" s="500"/>
      <c r="F104" s="500"/>
      <c r="G104" s="500"/>
      <c r="H104" s="500"/>
      <c r="I104" s="500"/>
      <c r="J104" s="500"/>
      <c r="K104" s="496"/>
      <c r="L104" s="497"/>
      <c r="M104" s="516"/>
      <c r="N104" s="397"/>
      <c r="O104" s="431"/>
    </row>
    <row r="105" spans="1:15" s="392" customFormat="1" ht="12" customHeight="1" x14ac:dyDescent="0.2">
      <c r="A105" s="392" t="str">
        <f t="shared" si="5"/>
        <v>Ausblenden</v>
      </c>
      <c r="C105" s="513"/>
      <c r="D105" s="712" t="str">
        <f>"zzgl. Vergleichsfaktor (Garagenstellplatz) x Anzahl = "&amp;ROUND(G31,0)&amp;",-€ x "&amp;G13&amp;" ="</f>
        <v>zzgl. Vergleichsfaktor (Garagenstellplatz) x Anzahl = 0,-€ x  =</v>
      </c>
      <c r="E105" s="713"/>
      <c r="F105" s="713"/>
      <c r="G105" s="713"/>
      <c r="H105" s="713"/>
      <c r="I105" s="713"/>
      <c r="J105" s="713"/>
      <c r="K105" s="496">
        <f>ROUND(G31,0)*G13</f>
        <v>0</v>
      </c>
      <c r="L105" s="497"/>
      <c r="M105" s="516"/>
      <c r="N105" s="397"/>
      <c r="O105" s="397"/>
    </row>
    <row r="106" spans="1:15" s="392" customFormat="1" ht="12" customHeight="1" x14ac:dyDescent="0.2">
      <c r="A106" s="392" t="str">
        <f t="shared" si="5"/>
        <v>Ausblenden</v>
      </c>
      <c r="C106" s="513"/>
      <c r="D106" s="712" t="str">
        <f>"zzgl. Vergleichsfaktor (Tiefgaragenstellplatz) x Anzahl = "&amp;ROUND(G32,0)&amp;",-€ x "&amp;K13&amp;" ="</f>
        <v>zzgl. Vergleichsfaktor (Tiefgaragenstellplatz) x Anzahl = 0,-€ x  =</v>
      </c>
      <c r="E106" s="713"/>
      <c r="F106" s="713"/>
      <c r="G106" s="713"/>
      <c r="H106" s="713"/>
      <c r="I106" s="713"/>
      <c r="J106" s="713"/>
      <c r="K106" s="496">
        <f>ROUND(G32,0)*K13</f>
        <v>0</v>
      </c>
      <c r="L106" s="497"/>
      <c r="M106" s="516"/>
      <c r="N106" s="397"/>
      <c r="O106" s="397"/>
    </row>
    <row r="107" spans="1:15" s="392" customFormat="1" ht="9" customHeight="1" x14ac:dyDescent="0.2">
      <c r="A107" s="392" t="str">
        <f t="shared" si="5"/>
        <v>Ausblenden</v>
      </c>
      <c r="C107" s="513"/>
      <c r="D107" s="494"/>
      <c r="E107" s="495"/>
      <c r="F107" s="495"/>
      <c r="G107" s="495"/>
      <c r="H107" s="495"/>
      <c r="I107" s="495"/>
      <c r="J107" s="495"/>
      <c r="K107" s="496"/>
      <c r="L107" s="497"/>
      <c r="M107" s="516"/>
      <c r="N107" s="397"/>
      <c r="O107" s="397"/>
    </row>
    <row r="108" spans="1:15" s="392" customFormat="1" ht="16.5" customHeight="1" thickBot="1" x14ac:dyDescent="0.25">
      <c r="A108" s="392" t="str">
        <f t="shared" si="5"/>
        <v>Ausblenden</v>
      </c>
      <c r="C108" s="513"/>
      <c r="D108" s="503" t="s">
        <v>258</v>
      </c>
      <c r="E108" s="504"/>
      <c r="F108" s="504"/>
      <c r="G108" s="504"/>
      <c r="H108" s="504"/>
      <c r="I108" s="504"/>
      <c r="J108" s="504"/>
      <c r="K108" s="505">
        <f>K103+K105+K106</f>
        <v>0</v>
      </c>
      <c r="L108" s="506"/>
      <c r="M108" s="516"/>
      <c r="N108" s="397"/>
      <c r="O108" s="397"/>
    </row>
    <row r="109" spans="1:15" s="392" customFormat="1" ht="24" customHeight="1" thickBot="1" x14ac:dyDescent="0.25">
      <c r="A109" s="392" t="str">
        <f t="shared" si="5"/>
        <v>Ausblenden</v>
      </c>
      <c r="C109" s="513"/>
      <c r="D109" s="571"/>
      <c r="E109" s="571"/>
      <c r="F109" s="571"/>
      <c r="G109" s="571"/>
      <c r="H109" s="571"/>
      <c r="I109" s="571"/>
      <c r="J109" s="571"/>
      <c r="K109" s="572"/>
      <c r="L109" s="573"/>
      <c r="M109" s="516"/>
      <c r="N109" s="397"/>
      <c r="O109" s="397"/>
    </row>
    <row r="110" spans="1:15" s="392" customFormat="1" ht="17.25" customHeight="1" x14ac:dyDescent="0.2">
      <c r="A110" s="392" t="str">
        <f>IF(KPA!$O$21="leer","Ausblenden","Einblenden")</f>
        <v>Ausblenden</v>
      </c>
      <c r="C110" s="513"/>
      <c r="D110" s="360" t="str">
        <f>IF(A28="Einblenden","Vorläufiger Vergleichswert",IF(A$74="Einblenden","Vorläufiger Ertragswert","Vorläufiger Sachwert"))</f>
        <v>Vorläufiger Sachwert</v>
      </c>
      <c r="E110" s="404"/>
      <c r="F110" s="404"/>
      <c r="G110" s="404"/>
      <c r="H110" s="404"/>
      <c r="I110" s="404"/>
      <c r="J110" s="404"/>
      <c r="K110" s="405" t="e">
        <f>IF(D110="Vorläufiger Ertragswert",K97,IF(D110="Vorläufiger Vergleichswert",K108,K71))</f>
        <v>#N/A</v>
      </c>
      <c r="L110" s="406"/>
      <c r="M110" s="516"/>
      <c r="N110" s="397"/>
      <c r="O110" s="397"/>
    </row>
    <row r="111" spans="1:15" s="392" customFormat="1" ht="12" customHeight="1" x14ac:dyDescent="0.2">
      <c r="A111" s="392" t="str">
        <f>IF(KPA!$O$21="leer","Ausblenden","Einblenden")</f>
        <v>Ausblenden</v>
      </c>
      <c r="C111" s="513"/>
      <c r="D111" s="718" t="e">
        <f>IF(K112&lt;1,D110&amp;" nicht plausibel, da Missverhältniss zum Bodenwert! Ggf. Liquidationsobjekt!","")</f>
        <v>#N/A</v>
      </c>
      <c r="E111" s="719"/>
      <c r="F111" s="719"/>
      <c r="G111" s="719"/>
      <c r="H111" s="719"/>
      <c r="I111" s="719"/>
      <c r="J111" s="719"/>
      <c r="K111" s="719"/>
      <c r="L111" s="240"/>
      <c r="M111" s="516"/>
      <c r="N111" s="397"/>
      <c r="O111" s="397"/>
    </row>
    <row r="112" spans="1:15" s="392" customFormat="1" ht="24.75" customHeight="1" thickBot="1" x14ac:dyDescent="0.25">
      <c r="A112" s="392" t="str">
        <f>IF(KPA!$O$21="leer","Ausblenden","Einblenden")</f>
        <v>Ausblenden</v>
      </c>
      <c r="C112" s="513"/>
      <c r="D112" s="714" t="str">
        <f>"Wertanteil der baulichen Anlagen/Gebäude in %  = 100 x ("&amp;D110&amp;" - Bodenwert) / "&amp;D110&amp;" ="</f>
        <v>Wertanteil der baulichen Anlagen/Gebäude in %  = 100 x (Vorläufiger Sachwert - Bodenwert) / Vorläufiger Sachwert =</v>
      </c>
      <c r="E112" s="715"/>
      <c r="F112" s="715"/>
      <c r="G112" s="715"/>
      <c r="H112" s="715"/>
      <c r="I112" s="715"/>
      <c r="J112" s="715"/>
      <c r="K112" s="361" t="e">
        <f>ROUNDUP(100*(K110-K57)/K110,2)</f>
        <v>#N/A</v>
      </c>
      <c r="L112" s="407"/>
      <c r="M112" s="516"/>
      <c r="N112" s="397"/>
      <c r="O112" s="397"/>
    </row>
    <row r="113" spans="1:15" s="392" customFormat="1" ht="7.5" customHeight="1" thickBot="1" x14ac:dyDescent="0.25">
      <c r="A113" s="392" t="str">
        <f>IF(KPA!$O$21="leer","Ausblenden","Einblenden")</f>
        <v>Ausblenden</v>
      </c>
      <c r="C113" s="513"/>
      <c r="D113" s="571"/>
      <c r="E113" s="571"/>
      <c r="F113" s="571"/>
      <c r="G113" s="571"/>
      <c r="H113" s="571"/>
      <c r="I113" s="571"/>
      <c r="J113" s="571"/>
      <c r="K113" s="572"/>
      <c r="L113" s="573"/>
      <c r="M113" s="516"/>
      <c r="N113" s="397"/>
      <c r="O113" s="397"/>
    </row>
    <row r="114" spans="1:15" s="392" customFormat="1" ht="12" customHeight="1" x14ac:dyDescent="0.2">
      <c r="A114" s="392" t="str">
        <f>IF(KPA!$O$21="leer","Ausblenden",IF(K$112&gt;0,IF(KPA!$O$21="leer","Ausblenden","Einblenden"),"Ausblenden"))</f>
        <v>Ausblenden</v>
      </c>
      <c r="C114" s="513"/>
      <c r="D114" s="703" t="s">
        <v>62</v>
      </c>
      <c r="E114" s="704"/>
      <c r="F114" s="704"/>
      <c r="G114" s="704"/>
      <c r="H114" s="704"/>
      <c r="I114" s="704"/>
      <c r="J114" s="704"/>
      <c r="K114" s="704"/>
      <c r="L114" s="705"/>
      <c r="M114" s="516"/>
      <c r="N114" s="397"/>
      <c r="O114" s="397"/>
    </row>
    <row r="115" spans="1:15" s="392" customFormat="1" ht="12" customHeight="1" x14ac:dyDescent="0.2">
      <c r="A115" s="392" t="str">
        <f>IF(KPA!$O$21="leer","Ausblenden",IF(K$112&gt;0,IF(KPA!$O$21="leer","Ausblenden","Einblenden"),"Ausblenden"))</f>
        <v>Ausblenden</v>
      </c>
      <c r="C115" s="513"/>
      <c r="D115" s="241"/>
      <c r="E115" s="248"/>
      <c r="F115" s="706" t="s">
        <v>104</v>
      </c>
      <c r="G115" s="707"/>
      <c r="H115" s="242"/>
      <c r="I115" s="408"/>
      <c r="J115" s="708" t="s">
        <v>102</v>
      </c>
      <c r="K115" s="709"/>
      <c r="L115" s="243"/>
      <c r="M115" s="516"/>
      <c r="N115" s="397"/>
      <c r="O115" s="397"/>
    </row>
    <row r="116" spans="1:15" s="392" customFormat="1" ht="12" customHeight="1" x14ac:dyDescent="0.2">
      <c r="A116" s="392" t="str">
        <f>IF(KPA!$O$21="leer","Ausblenden",IF(K$112&gt;0,IF(KPA!$O$21="leer","Ausblenden","Einblenden"),"Ausblenden"))</f>
        <v>Ausblenden</v>
      </c>
      <c r="C116" s="513"/>
      <c r="D116" s="669" t="s">
        <v>63</v>
      </c>
      <c r="E116" s="670"/>
      <c r="F116" s="507">
        <f>ROUND(K57,0)</f>
        <v>0</v>
      </c>
      <c r="G116" s="508" t="e">
        <f>"(≈ "&amp;ROUND(100-K112,2)&amp;" %)"</f>
        <v>#N/A</v>
      </c>
      <c r="H116" s="410"/>
      <c r="I116" s="408"/>
      <c r="J116" s="409" t="e">
        <f>J118-J117</f>
        <v>#N/A</v>
      </c>
      <c r="K116" s="411" t="e">
        <f>G116</f>
        <v>#N/A</v>
      </c>
      <c r="L116" s="412"/>
      <c r="M116" s="516"/>
    </row>
    <row r="117" spans="1:15" s="392" customFormat="1" ht="12" customHeight="1" x14ac:dyDescent="0.2">
      <c r="A117" s="392" t="str">
        <f>IF(KPA!$O$21="leer","Ausblenden",IF(K$112&gt;0,IF(KPA!$O$21="leer","Ausblenden","Einblenden"),"Ausblenden"))</f>
        <v>Ausblenden</v>
      </c>
      <c r="C117" s="513"/>
      <c r="D117" s="701" t="s">
        <v>332</v>
      </c>
      <c r="E117" s="702"/>
      <c r="F117" s="509" t="e">
        <f>ROUND(K110-F116,0)</f>
        <v>#N/A</v>
      </c>
      <c r="G117" s="510" t="e">
        <f>"(≈ "&amp;K112&amp;" %)"</f>
        <v>#N/A</v>
      </c>
      <c r="H117" s="410"/>
      <c r="I117" s="408"/>
      <c r="J117" s="413" t="e">
        <f>J118*K112/100</f>
        <v>#N/A</v>
      </c>
      <c r="K117" s="414" t="e">
        <f>G117</f>
        <v>#N/A</v>
      </c>
      <c r="L117" s="412"/>
      <c r="M117" s="516"/>
    </row>
    <row r="118" spans="1:15" s="392" customFormat="1" ht="12" customHeight="1" thickBot="1" x14ac:dyDescent="0.25">
      <c r="A118" s="392" t="str">
        <f>IF(KPA!$O$21="leer","Ausblenden",IF(K$112&gt;0,IF(KPA!$O$21="leer","Ausblenden","Einblenden"),"Ausblenden"))</f>
        <v>Ausblenden</v>
      </c>
      <c r="C118" s="513"/>
      <c r="D118" s="669" t="s">
        <v>103</v>
      </c>
      <c r="E118" s="670"/>
      <c r="F118" s="511" t="e">
        <f>SUM(F116:F117)</f>
        <v>#N/A</v>
      </c>
      <c r="G118" s="512" t="str">
        <f>"  (100 %)"</f>
        <v xml:space="preserve">  (100 %)</v>
      </c>
      <c r="H118" s="416"/>
      <c r="I118" s="408"/>
      <c r="J118" s="415">
        <f>K9</f>
        <v>0</v>
      </c>
      <c r="K118" s="417" t="str">
        <f>G118</f>
        <v xml:space="preserve">  (100 %)</v>
      </c>
      <c r="L118" s="412"/>
      <c r="M118" s="516"/>
    </row>
    <row r="119" spans="1:15" s="392" customFormat="1" ht="12" customHeight="1" thickTop="1" thickBot="1" x14ac:dyDescent="0.25">
      <c r="A119" s="392" t="str">
        <f>IF(KPA!$O$21="leer","Ausblenden",IF(K$112&gt;0,IF(KPA!$O$21="leer","Ausblenden","Einblenden"),"Ausblenden"))</f>
        <v>Ausblenden</v>
      </c>
      <c r="C119" s="513"/>
      <c r="D119" s="55"/>
      <c r="E119" s="56"/>
      <c r="F119" s="56"/>
      <c r="G119" s="365"/>
      <c r="H119" s="418"/>
      <c r="I119" s="418"/>
      <c r="J119" s="418"/>
      <c r="K119" s="418"/>
      <c r="L119" s="419"/>
      <c r="M119" s="516"/>
      <c r="N119" s="397"/>
      <c r="O119" s="397"/>
    </row>
    <row r="120" spans="1:15" s="392" customFormat="1" ht="24" customHeight="1" x14ac:dyDescent="0.2">
      <c r="A120" s="392" t="str">
        <f>IF(KPA!$O$21="leer","Ausblenden","Einblenden")</f>
        <v>Ausblenden</v>
      </c>
      <c r="C120" s="565"/>
      <c r="D120" s="566"/>
      <c r="E120" s="566"/>
      <c r="F120" s="567"/>
      <c r="G120" s="568"/>
      <c r="H120" s="569"/>
      <c r="I120" s="569"/>
      <c r="J120" s="569"/>
      <c r="K120" s="569"/>
      <c r="L120" s="569"/>
      <c r="M120" s="570"/>
      <c r="N120" s="397"/>
      <c r="O120" s="397"/>
    </row>
    <row r="121" spans="1:15" s="374" customFormat="1" ht="9.75" customHeight="1" x14ac:dyDescent="0.2">
      <c r="A121" s="392" t="str">
        <f>IF(KPA!$O$21="leer","Ausblenden",IF(K$112&gt;0,IF(KPA!$O$21="leer","Ausblenden","Einblenden"),"Ausblenden"))</f>
        <v>Ausblenden</v>
      </c>
      <c r="D121" s="379"/>
      <c r="E121" s="379"/>
    </row>
    <row r="122" spans="1:15" s="374" customFormat="1" x14ac:dyDescent="0.2">
      <c r="A122" s="392" t="str">
        <f>IF(KPA!$O$21="leer","Ausblenden",IF(K$112&gt;0,IF(KPA!$O$21="leer","Ausblenden","Einblenden"),"Ausblenden"))</f>
        <v>Ausblenden</v>
      </c>
      <c r="D122" s="379"/>
      <c r="E122" s="379"/>
    </row>
    <row r="123" spans="1:15" s="432" customFormat="1" ht="24" customHeight="1" x14ac:dyDescent="0.25">
      <c r="G123" s="433"/>
    </row>
    <row r="124" spans="1:15" s="432" customFormat="1" ht="15" x14ac:dyDescent="0.25"/>
    <row r="125" spans="1:15" s="432" customFormat="1" ht="15" x14ac:dyDescent="0.25"/>
    <row r="126" spans="1:15" s="659" customFormat="1" ht="5.25" x14ac:dyDescent="0.15">
      <c r="D126" s="660" t="str">
        <f>'SW-NHK'!D7</f>
        <v xml:space="preserve">Ein- und Zweifamilienhäuser [EFH/ZFH]  (ohne weitere Angaben)  </v>
      </c>
      <c r="E126" s="660"/>
    </row>
    <row r="127" spans="1:15" s="659" customFormat="1" ht="5.25" x14ac:dyDescent="0.15">
      <c r="D127" s="660" t="str">
        <f>'SW-NHK'!D8</f>
        <v>Mietwohngrundstücke (Mehrfamilienhäuser)</v>
      </c>
      <c r="E127" s="660"/>
    </row>
    <row r="128" spans="1:15" s="659" customFormat="1" ht="5.25" x14ac:dyDescent="0.15">
      <c r="D128" s="660" t="str">
        <f>'SW-NHK'!D9</f>
        <v>Teileigentum: Mietwohngrundstücke (Mehrfamilienhäuser)</v>
      </c>
      <c r="E128" s="660"/>
    </row>
    <row r="129" spans="4:5" s="659" customFormat="1" ht="5.25" x14ac:dyDescent="0.15">
      <c r="D129" s="660" t="str">
        <f>'SW-NHK'!D10</f>
        <v>Wohnungseigentum [WE]</v>
      </c>
      <c r="E129" s="660"/>
    </row>
    <row r="130" spans="4:5" s="659" customFormat="1" ht="5.25" x14ac:dyDescent="0.15">
      <c r="D130" s="660" t="str">
        <f>'SW-NHK'!D11</f>
        <v>gemischt genutzte Grundstücke, Wohnhäuser mit Mischnutzung (gewerbl. Anteil &lt; 50%)</v>
      </c>
    </row>
    <row r="131" spans="4:5" s="659" customFormat="1" ht="5.25" x14ac:dyDescent="0.15">
      <c r="D131" s="660" t="str">
        <f>'SW-NHK'!D12</f>
        <v xml:space="preserve">Teileigentum: gemischt genutzte Grundstücke (gewerbl. Anteil &lt; 50%) </v>
      </c>
    </row>
    <row r="132" spans="4:5" s="659" customFormat="1" ht="5.25" x14ac:dyDescent="0.15">
      <c r="D132" s="660" t="str">
        <f>'SW-NHK'!D13</f>
        <v>gemischt genutzte Grundstücke, Wohnhäuser mit Mischnutzung (gewerbl. Anteil &gt; 50%)</v>
      </c>
    </row>
    <row r="133" spans="4:5" s="659" customFormat="1" ht="5.25" x14ac:dyDescent="0.15">
      <c r="D133" s="660" t="str">
        <f>'SW-NHK'!D14</f>
        <v xml:space="preserve">Teileigentum: gemischt genutzte Grundstücke  (gewerbl. Anteil &gt; 50%) </v>
      </c>
    </row>
    <row r="134" spans="4:5" s="659" customFormat="1" ht="5.25" x14ac:dyDescent="0.15">
      <c r="D134" s="660" t="str">
        <f>'SW-NHK'!D15</f>
        <v>Geschäftsgrundstücke, Geschäftshäuser</v>
      </c>
      <c r="E134" s="660"/>
    </row>
    <row r="135" spans="4:5" s="659" customFormat="1" ht="5.25" x14ac:dyDescent="0.15">
      <c r="D135" s="660" t="str">
        <f>'SW-NHK'!D16</f>
        <v>Teileigentum: Geschäftsgrundstücke (Geschäfts.)</v>
      </c>
      <c r="E135" s="660"/>
    </row>
    <row r="136" spans="4:5" s="659" customFormat="1" ht="5.25" x14ac:dyDescent="0.15">
      <c r="D136" s="660" t="str">
        <f>'SW-NHK'!D17</f>
        <v>Geschäftsgrundstücke, Bürogebäude</v>
      </c>
      <c r="E136" s="660"/>
    </row>
    <row r="137" spans="4:5" s="659" customFormat="1" ht="5.25" x14ac:dyDescent="0.15">
      <c r="D137" s="660" t="str">
        <f>'SW-NHK'!D18</f>
        <v xml:space="preserve">Teileigentum: Geschäftsgrundstücke (Bürog.) </v>
      </c>
      <c r="E137" s="660"/>
    </row>
    <row r="138" spans="4:5" s="659" customFormat="1" ht="5.25" x14ac:dyDescent="0.15">
      <c r="D138" s="660" t="str">
        <f>'SW-NHK'!D19</f>
        <v>[EFH] freistehend, KG, EG, DG voll ausgebaut</v>
      </c>
      <c r="E138" s="660"/>
    </row>
    <row r="139" spans="4:5" s="659" customFormat="1" ht="5.25" x14ac:dyDescent="0.15">
      <c r="D139" s="660" t="str">
        <f>'SW-NHK'!D20</f>
        <v>[EFH] freistehend, KG, EG, DG nicht ausgebaut</v>
      </c>
      <c r="E139" s="660"/>
    </row>
    <row r="140" spans="4:5" s="659" customFormat="1" ht="5.25" x14ac:dyDescent="0.15">
      <c r="D140" s="660" t="str">
        <f>'SW-NHK'!D21</f>
        <v>[EFH] freistehend, KG, EG, Flachdach oder flach geneigtes Dach</v>
      </c>
      <c r="E140" s="660"/>
    </row>
    <row r="141" spans="4:5" s="659" customFormat="1" ht="5.25" x14ac:dyDescent="0.15">
      <c r="D141" s="660" t="str">
        <f>'SW-NHK'!D22</f>
        <v>[EFH] freistehend, KG, EG, OG, DG voll ausgebaut</v>
      </c>
      <c r="E141" s="660"/>
    </row>
    <row r="142" spans="4:5" s="659" customFormat="1" ht="5.25" x14ac:dyDescent="0.15">
      <c r="D142" s="660" t="str">
        <f>'SW-NHK'!D23</f>
        <v>[EFH] freistehend, KG, EG, OG, DG nicht ausgebaut</v>
      </c>
      <c r="E142" s="660"/>
    </row>
    <row r="143" spans="4:5" s="659" customFormat="1" ht="5.25" x14ac:dyDescent="0.15">
      <c r="D143" s="660" t="str">
        <f>'SW-NHK'!D24</f>
        <v>[EFH] freistehend, KG, EG, OG, Flachdach oder flach geneigtes Dach</v>
      </c>
      <c r="E143" s="660"/>
    </row>
    <row r="144" spans="4:5" s="659" customFormat="1" ht="5.25" x14ac:dyDescent="0.15">
      <c r="D144" s="660" t="str">
        <f>'SW-NHK'!D25</f>
        <v>[EFH] freistehend, EG, nicht unterkellert, DG voll ausgebaut</v>
      </c>
      <c r="E144" s="660"/>
    </row>
    <row r="145" spans="4:5" s="659" customFormat="1" ht="5.25" x14ac:dyDescent="0.15">
      <c r="D145" s="660" t="str">
        <f>'SW-NHK'!D26</f>
        <v>[EFH] freistehend, EG, nicht unterkellert, DG nicht ausgebaut</v>
      </c>
      <c r="E145" s="660"/>
    </row>
    <row r="146" spans="4:5" s="659" customFormat="1" ht="5.25" x14ac:dyDescent="0.15">
      <c r="D146" s="660" t="str">
        <f>'SW-NHK'!D27</f>
        <v>[EFH] freistehend, EG, nicht unterkellert, Flachdach oder flach geneigtes Dach</v>
      </c>
      <c r="E146" s="660"/>
    </row>
    <row r="147" spans="4:5" s="659" customFormat="1" ht="5.25" x14ac:dyDescent="0.15">
      <c r="D147" s="660" t="str">
        <f>'SW-NHK'!D28</f>
        <v>[EFH] freistehend, EG, OG, nicht unterkellert, DG voll ausgebaut</v>
      </c>
      <c r="E147" s="660"/>
    </row>
    <row r="148" spans="4:5" s="659" customFormat="1" ht="5.25" x14ac:dyDescent="0.15">
      <c r="D148" s="660" t="str">
        <f>'SW-NHK'!D29</f>
        <v>[EFH] freistehend, EG, OG, nicht unterkellert, DG nicht ausgebaut</v>
      </c>
      <c r="E148" s="660"/>
    </row>
    <row r="149" spans="4:5" s="659" customFormat="1" ht="5.25" x14ac:dyDescent="0.15">
      <c r="D149" s="660" t="str">
        <f>'SW-NHK'!D30</f>
        <v>[EFH] freistehend, EG, OG, nicht unterkellert, Flachdach oder flach geneigtes Dach</v>
      </c>
      <c r="E149" s="660"/>
    </row>
    <row r="150" spans="4:5" s="659" customFormat="1" ht="5.25" x14ac:dyDescent="0.15">
      <c r="D150" s="660" t="str">
        <f>'SW-NHK'!D31</f>
        <v>[ZFH] freistehend, KG, EG, DG voll ausgebaut</v>
      </c>
      <c r="E150" s="660"/>
    </row>
    <row r="151" spans="4:5" s="659" customFormat="1" ht="5.25" x14ac:dyDescent="0.15">
      <c r="D151" s="660" t="str">
        <f>'SW-NHK'!D32</f>
        <v>[ZFH] freistehend, KG, EG, DG nicht ausgebaut</v>
      </c>
      <c r="E151" s="660"/>
    </row>
    <row r="152" spans="4:5" s="659" customFormat="1" ht="5.25" x14ac:dyDescent="0.15">
      <c r="D152" s="660" t="str">
        <f>'SW-NHK'!D33</f>
        <v>[ZFH] freistehend, KG, EG, Flachdach oder flach geneigtes Dach</v>
      </c>
      <c r="E152" s="660"/>
    </row>
    <row r="153" spans="4:5" s="659" customFormat="1" ht="5.25" x14ac:dyDescent="0.15">
      <c r="D153" s="660" t="str">
        <f>'SW-NHK'!D34</f>
        <v>[ZFH] freistehend, KG, EG, OG, DG voll ausgebaut</v>
      </c>
      <c r="E153" s="660"/>
    </row>
    <row r="154" spans="4:5" s="659" customFormat="1" ht="5.25" x14ac:dyDescent="0.15">
      <c r="D154" s="660" t="str">
        <f>'SW-NHK'!D35</f>
        <v>[ZFH] freistehend, KG, EG, OG, DG nicht ausgebaut</v>
      </c>
      <c r="E154" s="660"/>
    </row>
    <row r="155" spans="4:5" s="659" customFormat="1" ht="5.25" x14ac:dyDescent="0.15">
      <c r="D155" s="660" t="str">
        <f>'SW-NHK'!D36</f>
        <v>[ZFH] freistehend, KG, EG, OG, Flachdach oder flach geneigtes Dach</v>
      </c>
      <c r="E155" s="660"/>
    </row>
    <row r="156" spans="4:5" s="659" customFormat="1" ht="5.25" x14ac:dyDescent="0.15">
      <c r="D156" s="660" t="str">
        <f>'SW-NHK'!D37</f>
        <v>[ZFH] freistehend, EG, nicht unterkellert, DG voll ausgebaut</v>
      </c>
      <c r="E156" s="660"/>
    </row>
    <row r="157" spans="4:5" s="659" customFormat="1" ht="5.25" x14ac:dyDescent="0.15">
      <c r="D157" s="660" t="str">
        <f>'SW-NHK'!D38</f>
        <v>[ZFH] freistehend, EG, nicht unterkellert, DG nicht ausgebaut</v>
      </c>
      <c r="E157" s="660"/>
    </row>
    <row r="158" spans="4:5" s="659" customFormat="1" ht="5.25" x14ac:dyDescent="0.15">
      <c r="D158" s="660" t="str">
        <f>'SW-NHK'!D39</f>
        <v>[ZFH] freistehend, EG, nicht unterkellert, Flachdach oder flach geneigtes Dach</v>
      </c>
      <c r="E158" s="660"/>
    </row>
    <row r="159" spans="4:5" s="659" customFormat="1" ht="5.25" x14ac:dyDescent="0.15">
      <c r="D159" s="660" t="str">
        <f>'SW-NHK'!D40</f>
        <v>[ZFH] freistehend, EG, OG, nicht unterkellert, DG voll ausgebaut</v>
      </c>
      <c r="E159" s="660"/>
    </row>
    <row r="160" spans="4:5" s="659" customFormat="1" ht="5.25" x14ac:dyDescent="0.15">
      <c r="D160" s="660" t="str">
        <f>'SW-NHK'!D41</f>
        <v>[ZFH] freistehend, EG, OG, nicht unterkellert, DG nicht ausgebaut</v>
      </c>
      <c r="E160" s="660"/>
    </row>
    <row r="161" spans="4:5" s="659" customFormat="1" ht="5.25" x14ac:dyDescent="0.15">
      <c r="D161" s="660" t="str">
        <f>'SW-NHK'!D42</f>
        <v>[ZFH] freistehend, EG, OG, nicht unterkellert, Flachdach oder flach geneigtes Dach</v>
      </c>
      <c r="E161" s="660"/>
    </row>
    <row r="162" spans="4:5" s="659" customFormat="1" ht="5.25" x14ac:dyDescent="0.15">
      <c r="D162" s="660" t="str">
        <f>'SW-NHK'!D43</f>
        <v>[EFH/ZFH] Doppel- und Reihenendh., KG, EG, DG voll ausgebaut</v>
      </c>
      <c r="E162" s="660"/>
    </row>
    <row r="163" spans="4:5" s="659" customFormat="1" ht="5.25" x14ac:dyDescent="0.15">
      <c r="D163" s="660" t="str">
        <f>'SW-NHK'!D44</f>
        <v>[EFH/ZFH]Doppel- und Reihenendh., KG, EG, DG nicht ausgebaut</v>
      </c>
      <c r="E163" s="660"/>
    </row>
    <row r="164" spans="4:5" s="659" customFormat="1" ht="5.25" x14ac:dyDescent="0.15">
      <c r="D164" s="660" t="str">
        <f>'SW-NHK'!D45</f>
        <v>[EFH/ZFH] Doppel- und Reihenendh., KG, EG, Flachdach oder flach geneigtes Dach</v>
      </c>
      <c r="E164" s="660"/>
    </row>
    <row r="165" spans="4:5" s="659" customFormat="1" ht="5.25" x14ac:dyDescent="0.15">
      <c r="D165" s="660" t="str">
        <f>'SW-NHK'!D46</f>
        <v>[EFH/ZFH] Doppel- und Reihenendh., KG, EG, OG, DG voll ausgebaut</v>
      </c>
      <c r="E165" s="660"/>
    </row>
    <row r="166" spans="4:5" s="659" customFormat="1" ht="5.25" x14ac:dyDescent="0.15">
      <c r="D166" s="660" t="str">
        <f>'SW-NHK'!D47</f>
        <v>[EFH/ZFH] Doppel- und Reihenendh., KG, EG, OG, DG nicht ausgebaut</v>
      </c>
      <c r="E166" s="660"/>
    </row>
    <row r="167" spans="4:5" s="659" customFormat="1" ht="5.25" x14ac:dyDescent="0.15">
      <c r="D167" s="660" t="str">
        <f>'SW-NHK'!D48</f>
        <v>[EFH/ZFH] Doppel- und Reihenendh., KG, EG, OG, Flachdach oder flach geneigtes Dach</v>
      </c>
      <c r="E167" s="660"/>
    </row>
    <row r="168" spans="4:5" s="659" customFormat="1" ht="5.25" x14ac:dyDescent="0.15">
      <c r="D168" s="660" t="str">
        <f>'SW-NHK'!D49</f>
        <v>[EFH/ZFH] Doppel- und Reihenendh., EG, nicht unterkellert, DG voll ausgebaut</v>
      </c>
      <c r="E168" s="660"/>
    </row>
    <row r="169" spans="4:5" s="659" customFormat="1" ht="5.25" x14ac:dyDescent="0.15">
      <c r="D169" s="660" t="str">
        <f>'SW-NHK'!D50</f>
        <v>[EFH/ZFH] Doppel- und Reihenendh., EG, nicht unterkellert, DG nicht ausgebaut</v>
      </c>
      <c r="E169" s="660"/>
    </row>
    <row r="170" spans="4:5" s="659" customFormat="1" ht="5.25" x14ac:dyDescent="0.15">
      <c r="D170" s="660" t="str">
        <f>'SW-NHK'!D51</f>
        <v>[EFH/ZFH] Doppel- und Reihenendh., EG, nicht unterkellert, Flachdach oder flach geneigtes Dach</v>
      </c>
      <c r="E170" s="660"/>
    </row>
    <row r="171" spans="4:5" s="659" customFormat="1" ht="5.25" x14ac:dyDescent="0.15">
      <c r="D171" s="660" t="str">
        <f>'SW-NHK'!D52</f>
        <v>[EFH/ZFH] Doppel- und Reihenendh., EG, OG, nicht unterkellert, DG voll ausgebaut</v>
      </c>
      <c r="E171" s="660"/>
    </row>
    <row r="172" spans="4:5" s="659" customFormat="1" ht="5.25" x14ac:dyDescent="0.15">
      <c r="D172" s="660" t="str">
        <f>'SW-NHK'!D53</f>
        <v>[EFH/ZFH] Doppel- und Reihenendh., EG, OG, nicht unterkellert, DG nicht ausgebaut</v>
      </c>
      <c r="E172" s="660"/>
    </row>
    <row r="173" spans="4:5" s="659" customFormat="1" ht="5.25" x14ac:dyDescent="0.15">
      <c r="D173" s="660" t="str">
        <f>'SW-NHK'!D54</f>
        <v>[EFH/ZFH] Doppel- und Reihenendh., EG, OG, nicht unterkellert, Flachdach oder flach geneigtes Dach</v>
      </c>
      <c r="E173" s="660"/>
    </row>
    <row r="174" spans="4:5" s="659" customFormat="1" ht="5.25" x14ac:dyDescent="0.15">
      <c r="D174" s="660" t="str">
        <f>'SW-NHK'!D55</f>
        <v>[EFH/ZFH] Reihenmittelh., KG, EG, DG voll ausgebaut</v>
      </c>
      <c r="E174" s="660"/>
    </row>
    <row r="175" spans="4:5" s="659" customFormat="1" ht="5.25" x14ac:dyDescent="0.15">
      <c r="D175" s="660" t="str">
        <f>'SW-NHK'!D56</f>
        <v>[EFH/ZFH] Reihenmittelh., KG, EG, DG nicht ausgebaut</v>
      </c>
      <c r="E175" s="660"/>
    </row>
    <row r="176" spans="4:5" s="659" customFormat="1" ht="5.25" x14ac:dyDescent="0.15">
      <c r="D176" s="660" t="str">
        <f>'SW-NHK'!D57</f>
        <v>[EFH/ZFH] Reihenmittelh.,  KG, EG, Flachdach oder flach geneigtes Dach</v>
      </c>
      <c r="E176" s="660"/>
    </row>
    <row r="177" spans="4:5" s="659" customFormat="1" ht="5.25" x14ac:dyDescent="0.15">
      <c r="D177" s="660" t="str">
        <f>'SW-NHK'!D58</f>
        <v>[EFH/ZFH] Reihenmittelh., KG, EG, OG, DG voll ausgebaut</v>
      </c>
      <c r="E177" s="660"/>
    </row>
    <row r="178" spans="4:5" s="659" customFormat="1" ht="5.25" x14ac:dyDescent="0.15">
      <c r="D178" s="660" t="str">
        <f>'SW-NHK'!D59</f>
        <v>[EFH/ZFH] Reihenmittelh.,  KG, EG, OG, DG nicht ausgebaut</v>
      </c>
      <c r="E178" s="660"/>
    </row>
    <row r="179" spans="4:5" s="659" customFormat="1" ht="5.25" x14ac:dyDescent="0.15">
      <c r="D179" s="660" t="str">
        <f>'SW-NHK'!D60</f>
        <v>[EFH/ZFH] Reihenmittelh., KG, EG, OG, Flachdach oder flach geneigtes Dach</v>
      </c>
      <c r="E179" s="660"/>
    </row>
    <row r="180" spans="4:5" s="659" customFormat="1" ht="5.25" x14ac:dyDescent="0.15">
      <c r="D180" s="660" t="str">
        <f>'SW-NHK'!D61</f>
        <v>[EFH/ZFH] Reihenmittelh., EG, nicht unterkellert, DG voll ausgebaut</v>
      </c>
      <c r="E180" s="660"/>
    </row>
    <row r="181" spans="4:5" s="659" customFormat="1" ht="5.25" x14ac:dyDescent="0.15">
      <c r="D181" s="660" t="str">
        <f>'SW-NHK'!D62</f>
        <v>[EFH/ZFH] Reihenmittelh., EG, nicht unterkellert, DG nicht ausgebaut</v>
      </c>
      <c r="E181" s="660"/>
    </row>
    <row r="182" spans="4:5" s="659" customFormat="1" ht="5.25" x14ac:dyDescent="0.15">
      <c r="D182" s="660" t="str">
        <f>'SW-NHK'!D63</f>
        <v>[EFH/ZFH] Reihenmittelh., EG, nicht unterkellert, Flachdach oder flach geneigtes Dach</v>
      </c>
      <c r="E182" s="660"/>
    </row>
    <row r="183" spans="4:5" s="659" customFormat="1" ht="5.25" x14ac:dyDescent="0.15">
      <c r="D183" s="660" t="str">
        <f>'SW-NHK'!D64</f>
        <v>[EFH/ZFH] Reihenmittelh., EG, OG, nicht unterkellert, DG voll ausgebaut</v>
      </c>
      <c r="E183" s="660"/>
    </row>
    <row r="184" spans="4:5" s="659" customFormat="1" ht="5.25" x14ac:dyDescent="0.15">
      <c r="D184" s="660" t="str">
        <f>'SW-NHK'!D65</f>
        <v>[EFH/ZFH] Reihenmittelh.,  EG, OG, nicht unterkellert, DG nicht ausgebaut</v>
      </c>
      <c r="E184" s="660"/>
    </row>
    <row r="185" spans="4:5" s="659" customFormat="1" ht="5.25" x14ac:dyDescent="0.15">
      <c r="D185" s="660" t="str">
        <f>'SW-NHK'!D66</f>
        <v>[EFH/ZFH] Reihenmittelh., EG, OG, nicht unterkellert, Flachdach oder flach geneigtes Dach</v>
      </c>
      <c r="E185" s="660"/>
    </row>
    <row r="186" spans="4:5" s="659" customFormat="1" ht="5.25" x14ac:dyDescent="0.15">
      <c r="D186" s="660"/>
      <c r="E186" s="660"/>
    </row>
    <row r="187" spans="4:5" s="659" customFormat="1" ht="5.25" x14ac:dyDescent="0.15">
      <c r="D187" s="660"/>
      <c r="E187" s="660"/>
    </row>
    <row r="188" spans="4:5" s="659" customFormat="1" ht="5.25" x14ac:dyDescent="0.15">
      <c r="D188" s="660"/>
      <c r="E188" s="660"/>
    </row>
    <row r="189" spans="4:5" s="659" customFormat="1" ht="5.25" x14ac:dyDescent="0.15">
      <c r="D189" s="660"/>
      <c r="E189" s="660"/>
    </row>
    <row r="190" spans="4:5" s="659" customFormat="1" ht="5.25" x14ac:dyDescent="0.15">
      <c r="D190" s="660"/>
      <c r="E190" s="660"/>
    </row>
    <row r="191" spans="4:5" s="659" customFormat="1" ht="5.25" x14ac:dyDescent="0.15">
      <c r="D191" s="660"/>
      <c r="E191" s="660"/>
    </row>
    <row r="192" spans="4:5" s="659" customFormat="1" ht="5.25" x14ac:dyDescent="0.15">
      <c r="D192" s="660"/>
      <c r="E192" s="660"/>
    </row>
    <row r="193" spans="4:5" s="659" customFormat="1" ht="5.25" x14ac:dyDescent="0.15">
      <c r="D193" s="660"/>
      <c r="E193" s="660"/>
    </row>
    <row r="194" spans="4:5" s="659" customFormat="1" ht="5.25" x14ac:dyDescent="0.15">
      <c r="D194" s="660"/>
      <c r="E194" s="660"/>
    </row>
    <row r="195" spans="4:5" s="659" customFormat="1" ht="5.25" x14ac:dyDescent="0.15">
      <c r="D195" s="660"/>
      <c r="E195" s="660"/>
    </row>
    <row r="196" spans="4:5" s="659" customFormat="1" ht="5.25" x14ac:dyDescent="0.15">
      <c r="D196" s="660"/>
      <c r="E196" s="660"/>
    </row>
    <row r="197" spans="4:5" s="659" customFormat="1" ht="5.25" x14ac:dyDescent="0.15">
      <c r="D197" s="660"/>
      <c r="E197" s="660"/>
    </row>
    <row r="198" spans="4:5" s="659" customFormat="1" ht="5.25" x14ac:dyDescent="0.15">
      <c r="D198" s="660"/>
      <c r="E198" s="660"/>
    </row>
    <row r="199" spans="4:5" s="659" customFormat="1" ht="5.25" x14ac:dyDescent="0.15">
      <c r="D199" s="660"/>
      <c r="E199" s="660"/>
    </row>
    <row r="200" spans="4:5" s="659" customFormat="1" ht="5.25" x14ac:dyDescent="0.15">
      <c r="D200" s="660"/>
      <c r="E200" s="660"/>
    </row>
    <row r="201" spans="4:5" s="659" customFormat="1" ht="5.25" x14ac:dyDescent="0.15">
      <c r="D201" s="660"/>
      <c r="E201" s="660"/>
    </row>
    <row r="202" spans="4:5" s="659" customFormat="1" ht="5.25" x14ac:dyDescent="0.15">
      <c r="D202" s="660"/>
      <c r="E202" s="660"/>
    </row>
    <row r="203" spans="4:5" s="659" customFormat="1" ht="5.25" x14ac:dyDescent="0.15">
      <c r="D203" s="660"/>
      <c r="E203" s="660"/>
    </row>
    <row r="204" spans="4:5" s="659" customFormat="1" ht="5.25" x14ac:dyDescent="0.15">
      <c r="D204" s="660"/>
      <c r="E204" s="660"/>
    </row>
    <row r="205" spans="4:5" s="432" customFormat="1" ht="15" x14ac:dyDescent="0.25">
      <c r="D205" s="434"/>
      <c r="E205" s="434"/>
    </row>
    <row r="206" spans="4:5" s="432" customFormat="1" ht="15" x14ac:dyDescent="0.25">
      <c r="D206" s="434"/>
      <c r="E206" s="434"/>
    </row>
    <row r="207" spans="4:5" s="432" customFormat="1" ht="15" x14ac:dyDescent="0.25">
      <c r="D207" s="434"/>
      <c r="E207" s="434"/>
    </row>
    <row r="208" spans="4:5" s="432" customFormat="1" ht="15" x14ac:dyDescent="0.25">
      <c r="D208" s="434"/>
      <c r="E208" s="434"/>
    </row>
    <row r="209" spans="4:5" s="432" customFormat="1" ht="15" x14ac:dyDescent="0.25">
      <c r="D209" s="434"/>
      <c r="E209" s="434"/>
    </row>
    <row r="210" spans="4:5" s="432" customFormat="1" ht="15" x14ac:dyDescent="0.25">
      <c r="D210" s="434"/>
      <c r="E210" s="434"/>
    </row>
    <row r="211" spans="4:5" s="432" customFormat="1" ht="15" x14ac:dyDescent="0.25">
      <c r="D211" s="434"/>
      <c r="E211" s="434"/>
    </row>
    <row r="212" spans="4:5" s="432" customFormat="1" ht="15" x14ac:dyDescent="0.25">
      <c r="D212" s="434"/>
      <c r="E212" s="434"/>
    </row>
    <row r="213" spans="4:5" s="432" customFormat="1" ht="15" x14ac:dyDescent="0.25">
      <c r="D213" s="434"/>
      <c r="E213" s="434"/>
    </row>
    <row r="214" spans="4:5" s="432" customFormat="1" ht="15" x14ac:dyDescent="0.25">
      <c r="D214" s="434"/>
      <c r="E214" s="434"/>
    </row>
    <row r="215" spans="4:5" s="432" customFormat="1" ht="15" x14ac:dyDescent="0.25">
      <c r="D215" s="434"/>
      <c r="E215" s="434"/>
    </row>
    <row r="216" spans="4:5" s="432" customFormat="1" ht="15" x14ac:dyDescent="0.25">
      <c r="D216" s="434"/>
      <c r="E216" s="434"/>
    </row>
    <row r="217" spans="4:5" s="432" customFormat="1" ht="15" x14ac:dyDescent="0.25">
      <c r="D217" s="434"/>
      <c r="E217" s="434"/>
    </row>
    <row r="218" spans="4:5" s="432" customFormat="1" ht="15" x14ac:dyDescent="0.25">
      <c r="D218" s="434"/>
      <c r="E218" s="434"/>
    </row>
    <row r="219" spans="4:5" s="432" customFormat="1" ht="15" x14ac:dyDescent="0.25">
      <c r="D219" s="434"/>
      <c r="E219" s="434"/>
    </row>
    <row r="220" spans="4:5" s="432" customFormat="1" ht="15" x14ac:dyDescent="0.25">
      <c r="D220" s="434"/>
      <c r="E220" s="434"/>
    </row>
    <row r="221" spans="4:5" s="432" customFormat="1" ht="15" x14ac:dyDescent="0.25">
      <c r="D221" s="434"/>
      <c r="E221" s="434"/>
    </row>
    <row r="222" spans="4:5" s="432" customFormat="1" ht="15" x14ac:dyDescent="0.25">
      <c r="D222" s="434"/>
      <c r="E222" s="434"/>
    </row>
    <row r="223" spans="4:5" s="432" customFormat="1" ht="15" x14ac:dyDescent="0.25">
      <c r="D223" s="434"/>
      <c r="E223" s="434"/>
    </row>
    <row r="224" spans="4:5" s="432" customFormat="1" ht="15" x14ac:dyDescent="0.25">
      <c r="D224" s="434"/>
      <c r="E224" s="434"/>
    </row>
    <row r="225" spans="4:5" s="432" customFormat="1" ht="15" x14ac:dyDescent="0.25">
      <c r="D225" s="434"/>
      <c r="E225" s="434"/>
    </row>
    <row r="226" spans="4:5" s="432" customFormat="1" ht="15" x14ac:dyDescent="0.25">
      <c r="D226" s="434"/>
      <c r="E226" s="434"/>
    </row>
    <row r="227" spans="4:5" s="432" customFormat="1" ht="15" x14ac:dyDescent="0.25">
      <c r="D227" s="434"/>
      <c r="E227" s="434"/>
    </row>
    <row r="228" spans="4:5" s="432" customFormat="1" ht="15" x14ac:dyDescent="0.25">
      <c r="D228" s="434"/>
      <c r="E228" s="434"/>
    </row>
    <row r="229" spans="4:5" s="432" customFormat="1" ht="15" x14ac:dyDescent="0.25">
      <c r="D229" s="434"/>
      <c r="E229" s="434"/>
    </row>
    <row r="230" spans="4:5" s="432" customFormat="1" ht="15" x14ac:dyDescent="0.25">
      <c r="D230" s="434"/>
      <c r="E230" s="434"/>
    </row>
    <row r="231" spans="4:5" s="432" customFormat="1" ht="15" x14ac:dyDescent="0.25">
      <c r="D231" s="434"/>
      <c r="E231" s="434"/>
    </row>
    <row r="232" spans="4:5" s="432" customFormat="1" ht="15" x14ac:dyDescent="0.25">
      <c r="D232" s="434"/>
      <c r="E232" s="434"/>
    </row>
    <row r="233" spans="4:5" s="432" customFormat="1" ht="15" x14ac:dyDescent="0.25">
      <c r="D233" s="434"/>
      <c r="E233" s="434"/>
    </row>
    <row r="234" spans="4:5" s="432" customFormat="1" ht="15" x14ac:dyDescent="0.25">
      <c r="D234" s="434"/>
      <c r="E234" s="434"/>
    </row>
    <row r="235" spans="4:5" s="432" customFormat="1" ht="15" x14ac:dyDescent="0.25">
      <c r="D235" s="434"/>
      <c r="E235" s="434"/>
    </row>
    <row r="236" spans="4:5" s="432" customFormat="1" ht="15" x14ac:dyDescent="0.25">
      <c r="D236" s="434"/>
      <c r="E236" s="434"/>
    </row>
    <row r="237" spans="4:5" s="432" customFormat="1" ht="15" x14ac:dyDescent="0.25">
      <c r="D237" s="434"/>
      <c r="E237" s="434"/>
    </row>
    <row r="238" spans="4:5" s="432" customFormat="1" ht="15" x14ac:dyDescent="0.25">
      <c r="D238" s="434"/>
      <c r="E238" s="434"/>
    </row>
    <row r="239" spans="4:5" s="432" customFormat="1" ht="15" x14ac:dyDescent="0.25">
      <c r="D239" s="434"/>
      <c r="E239" s="434"/>
    </row>
    <row r="240" spans="4:5" s="432" customFormat="1" ht="15" x14ac:dyDescent="0.25">
      <c r="D240" s="434"/>
      <c r="E240" s="434"/>
    </row>
    <row r="241" spans="4:5" s="432" customFormat="1" ht="15" x14ac:dyDescent="0.25">
      <c r="D241" s="434"/>
      <c r="E241" s="434"/>
    </row>
    <row r="242" spans="4:5" s="432" customFormat="1" ht="15" x14ac:dyDescent="0.25">
      <c r="D242" s="434"/>
      <c r="E242" s="434"/>
    </row>
    <row r="243" spans="4:5" s="432" customFormat="1" ht="15" x14ac:dyDescent="0.25">
      <c r="D243" s="434"/>
      <c r="E243" s="434"/>
    </row>
    <row r="244" spans="4:5" s="432" customFormat="1" ht="15" x14ac:dyDescent="0.25">
      <c r="D244" s="434"/>
      <c r="E244" s="434"/>
    </row>
    <row r="245" spans="4:5" s="432" customFormat="1" ht="15" x14ac:dyDescent="0.25">
      <c r="D245" s="434"/>
      <c r="E245" s="434"/>
    </row>
    <row r="246" spans="4:5" s="432" customFormat="1" ht="15" x14ac:dyDescent="0.25">
      <c r="D246" s="434"/>
      <c r="E246" s="434"/>
    </row>
    <row r="247" spans="4:5" s="432" customFormat="1" ht="15" x14ac:dyDescent="0.25">
      <c r="D247" s="434"/>
      <c r="E247" s="434"/>
    </row>
    <row r="248" spans="4:5" s="432" customFormat="1" ht="15" x14ac:dyDescent="0.25">
      <c r="D248" s="434"/>
      <c r="E248" s="434"/>
    </row>
    <row r="249" spans="4:5" s="432" customFormat="1" ht="15" x14ac:dyDescent="0.25">
      <c r="D249" s="434"/>
      <c r="E249" s="434"/>
    </row>
    <row r="250" spans="4:5" s="432" customFormat="1" ht="15" x14ac:dyDescent="0.25">
      <c r="D250" s="434"/>
      <c r="E250" s="434"/>
    </row>
    <row r="251" spans="4:5" s="432" customFormat="1" ht="15" x14ac:dyDescent="0.25">
      <c r="D251" s="434"/>
      <c r="E251" s="434"/>
    </row>
    <row r="252" spans="4:5" s="432" customFormat="1" ht="15" x14ac:dyDescent="0.25">
      <c r="D252" s="434"/>
      <c r="E252" s="434"/>
    </row>
    <row r="253" spans="4:5" s="432" customFormat="1" ht="15" x14ac:dyDescent="0.25">
      <c r="D253" s="434"/>
      <c r="E253" s="434"/>
    </row>
    <row r="254" spans="4:5" s="432" customFormat="1" ht="15" x14ac:dyDescent="0.25">
      <c r="D254" s="434"/>
      <c r="E254" s="434"/>
    </row>
    <row r="255" spans="4:5" s="432" customFormat="1" ht="15" x14ac:dyDescent="0.25">
      <c r="D255" s="434"/>
      <c r="E255" s="434"/>
    </row>
    <row r="256" spans="4:5" s="432" customFormat="1" ht="15" x14ac:dyDescent="0.25">
      <c r="D256" s="434"/>
      <c r="E256" s="434"/>
    </row>
    <row r="257" spans="4:5" s="432" customFormat="1" ht="15" x14ac:dyDescent="0.25">
      <c r="D257" s="434"/>
      <c r="E257" s="434"/>
    </row>
    <row r="258" spans="4:5" s="432" customFormat="1" ht="15" x14ac:dyDescent="0.25">
      <c r="D258" s="434"/>
      <c r="E258" s="434"/>
    </row>
    <row r="259" spans="4:5" s="432" customFormat="1" ht="15" x14ac:dyDescent="0.25">
      <c r="D259" s="434"/>
      <c r="E259" s="434"/>
    </row>
    <row r="260" spans="4:5" s="432" customFormat="1" ht="15" x14ac:dyDescent="0.25">
      <c r="D260" s="434"/>
      <c r="E260" s="434"/>
    </row>
    <row r="261" spans="4:5" s="432" customFormat="1" ht="15" x14ac:dyDescent="0.25">
      <c r="D261" s="434"/>
      <c r="E261" s="434"/>
    </row>
    <row r="262" spans="4:5" s="432" customFormat="1" ht="15" x14ac:dyDescent="0.25">
      <c r="D262" s="434"/>
      <c r="E262" s="434"/>
    </row>
    <row r="263" spans="4:5" s="432" customFormat="1" ht="15" x14ac:dyDescent="0.25">
      <c r="D263" s="434"/>
      <c r="E263" s="434"/>
    </row>
    <row r="264" spans="4:5" s="432" customFormat="1" ht="15" x14ac:dyDescent="0.25">
      <c r="D264" s="434"/>
      <c r="E264" s="434"/>
    </row>
    <row r="265" spans="4:5" s="432" customFormat="1" ht="15" x14ac:dyDescent="0.25">
      <c r="D265" s="434"/>
      <c r="E265" s="434"/>
    </row>
    <row r="266" spans="4:5" s="432" customFormat="1" ht="15" x14ac:dyDescent="0.25">
      <c r="D266" s="434"/>
      <c r="E266" s="434"/>
    </row>
    <row r="267" spans="4:5" s="432" customFormat="1" ht="15" x14ac:dyDescent="0.25">
      <c r="D267" s="434"/>
      <c r="E267" s="434"/>
    </row>
    <row r="268" spans="4:5" s="432" customFormat="1" ht="15" x14ac:dyDescent="0.25">
      <c r="D268" s="434"/>
      <c r="E268" s="434"/>
    </row>
    <row r="269" spans="4:5" s="432" customFormat="1" ht="15" x14ac:dyDescent="0.25">
      <c r="D269" s="434"/>
      <c r="E269" s="434"/>
    </row>
    <row r="270" spans="4:5" s="432" customFormat="1" ht="15" x14ac:dyDescent="0.25">
      <c r="D270" s="434"/>
      <c r="E270" s="434"/>
    </row>
    <row r="271" spans="4:5" s="432" customFormat="1" ht="15" x14ac:dyDescent="0.25">
      <c r="D271" s="434"/>
      <c r="E271" s="434"/>
    </row>
    <row r="272" spans="4:5" s="432" customFormat="1" ht="15" x14ac:dyDescent="0.25">
      <c r="D272" s="434"/>
      <c r="E272" s="434"/>
    </row>
    <row r="273" spans="4:5" s="432" customFormat="1" ht="15" x14ac:dyDescent="0.25">
      <c r="D273" s="434"/>
      <c r="E273" s="434"/>
    </row>
    <row r="274" spans="4:5" s="432" customFormat="1" ht="15" x14ac:dyDescent="0.25">
      <c r="D274" s="434"/>
      <c r="E274" s="434"/>
    </row>
    <row r="275" spans="4:5" s="432" customFormat="1" ht="15" x14ac:dyDescent="0.25">
      <c r="D275" s="434"/>
      <c r="E275" s="434"/>
    </row>
    <row r="276" spans="4:5" s="432" customFormat="1" ht="15" x14ac:dyDescent="0.25">
      <c r="D276" s="434"/>
      <c r="E276" s="434"/>
    </row>
    <row r="277" spans="4:5" s="432" customFormat="1" ht="15" x14ac:dyDescent="0.25">
      <c r="D277" s="434"/>
      <c r="E277" s="434"/>
    </row>
    <row r="278" spans="4:5" s="432" customFormat="1" ht="15" x14ac:dyDescent="0.25">
      <c r="D278" s="434"/>
      <c r="E278" s="434"/>
    </row>
    <row r="279" spans="4:5" s="432" customFormat="1" ht="15" x14ac:dyDescent="0.25">
      <c r="D279" s="434"/>
      <c r="E279" s="434"/>
    </row>
    <row r="280" spans="4:5" s="432" customFormat="1" ht="15" x14ac:dyDescent="0.25">
      <c r="D280" s="434"/>
      <c r="E280" s="434"/>
    </row>
    <row r="281" spans="4:5" s="432" customFormat="1" ht="15" x14ac:dyDescent="0.25">
      <c r="D281" s="434"/>
      <c r="E281" s="434"/>
    </row>
    <row r="282" spans="4:5" s="432" customFormat="1" ht="15" x14ac:dyDescent="0.25">
      <c r="D282" s="434"/>
      <c r="E282" s="434"/>
    </row>
    <row r="283" spans="4:5" s="432" customFormat="1" ht="15" x14ac:dyDescent="0.25">
      <c r="D283" s="434"/>
      <c r="E283" s="434"/>
    </row>
    <row r="284" spans="4:5" s="432" customFormat="1" ht="15" x14ac:dyDescent="0.25">
      <c r="D284" s="434"/>
      <c r="E284" s="434"/>
    </row>
    <row r="285" spans="4:5" s="432" customFormat="1" ht="15" x14ac:dyDescent="0.25">
      <c r="D285" s="434"/>
      <c r="E285" s="434"/>
    </row>
    <row r="286" spans="4:5" s="432" customFormat="1" ht="15" x14ac:dyDescent="0.25">
      <c r="D286" s="434"/>
      <c r="E286" s="434"/>
    </row>
    <row r="287" spans="4:5" s="432" customFormat="1" ht="15" x14ac:dyDescent="0.25">
      <c r="D287" s="434"/>
      <c r="E287" s="434"/>
    </row>
    <row r="288" spans="4:5" s="432" customFormat="1" ht="15" x14ac:dyDescent="0.25">
      <c r="D288" s="434"/>
      <c r="E288" s="434"/>
    </row>
    <row r="289" spans="4:5" s="432" customFormat="1" ht="15" x14ac:dyDescent="0.25">
      <c r="D289" s="434"/>
      <c r="E289" s="434"/>
    </row>
    <row r="290" spans="4:5" s="432" customFormat="1" ht="15" x14ac:dyDescent="0.25">
      <c r="D290" s="434"/>
      <c r="E290" s="434"/>
    </row>
    <row r="291" spans="4:5" s="432" customFormat="1" ht="15" x14ac:dyDescent="0.25">
      <c r="D291" s="434"/>
      <c r="E291" s="434"/>
    </row>
    <row r="292" spans="4:5" s="432" customFormat="1" ht="15" x14ac:dyDescent="0.25">
      <c r="D292" s="434"/>
      <c r="E292" s="434"/>
    </row>
    <row r="293" spans="4:5" s="432" customFormat="1" ht="15" x14ac:dyDescent="0.25">
      <c r="D293" s="434"/>
      <c r="E293" s="434"/>
    </row>
    <row r="294" spans="4:5" s="432" customFormat="1" ht="15" x14ac:dyDescent="0.25">
      <c r="D294" s="434"/>
      <c r="E294" s="434"/>
    </row>
    <row r="295" spans="4:5" s="432" customFormat="1" ht="15" x14ac:dyDescent="0.25">
      <c r="D295" s="434"/>
      <c r="E295" s="434"/>
    </row>
    <row r="296" spans="4:5" s="432" customFormat="1" ht="15" x14ac:dyDescent="0.25">
      <c r="D296" s="434"/>
      <c r="E296" s="434"/>
    </row>
    <row r="297" spans="4:5" s="432" customFormat="1" ht="15" x14ac:dyDescent="0.25">
      <c r="D297" s="434"/>
      <c r="E297" s="434"/>
    </row>
    <row r="298" spans="4:5" s="432" customFormat="1" ht="15" x14ac:dyDescent="0.25">
      <c r="D298" s="434"/>
      <c r="E298" s="434"/>
    </row>
    <row r="299" spans="4:5" s="432" customFormat="1" ht="15" x14ac:dyDescent="0.25">
      <c r="D299" s="434"/>
      <c r="E299" s="434"/>
    </row>
    <row r="300" spans="4:5" s="432" customFormat="1" ht="15" x14ac:dyDescent="0.25">
      <c r="D300" s="434"/>
      <c r="E300" s="434"/>
    </row>
    <row r="301" spans="4:5" s="432" customFormat="1" ht="15" x14ac:dyDescent="0.25">
      <c r="D301" s="434"/>
      <c r="E301" s="434"/>
    </row>
    <row r="302" spans="4:5" s="432" customFormat="1" ht="15" x14ac:dyDescent="0.25">
      <c r="D302" s="434"/>
      <c r="E302" s="434"/>
    </row>
    <row r="303" spans="4:5" s="432" customFormat="1" ht="15" x14ac:dyDescent="0.25">
      <c r="D303" s="434"/>
      <c r="E303" s="434"/>
    </row>
    <row r="304" spans="4:5" s="432" customFormat="1" ht="15" x14ac:dyDescent="0.25">
      <c r="D304" s="434"/>
      <c r="E304" s="434"/>
    </row>
    <row r="305" spans="4:5" s="432" customFormat="1" ht="15" x14ac:dyDescent="0.25">
      <c r="D305" s="434"/>
      <c r="E305" s="434"/>
    </row>
    <row r="306" spans="4:5" s="432" customFormat="1" ht="15" x14ac:dyDescent="0.25">
      <c r="D306" s="434"/>
      <c r="E306" s="434"/>
    </row>
    <row r="307" spans="4:5" s="432" customFormat="1" ht="15" x14ac:dyDescent="0.25">
      <c r="D307" s="434"/>
      <c r="E307" s="434"/>
    </row>
    <row r="308" spans="4:5" s="432" customFormat="1" ht="15" x14ac:dyDescent="0.25">
      <c r="D308" s="434"/>
      <c r="E308" s="434"/>
    </row>
    <row r="309" spans="4:5" s="432" customFormat="1" ht="15" x14ac:dyDescent="0.25">
      <c r="D309" s="434"/>
      <c r="E309" s="434"/>
    </row>
    <row r="310" spans="4:5" s="432" customFormat="1" ht="15" x14ac:dyDescent="0.25">
      <c r="D310" s="434"/>
      <c r="E310" s="434"/>
    </row>
    <row r="311" spans="4:5" s="432" customFormat="1" ht="15" x14ac:dyDescent="0.25">
      <c r="D311" s="434"/>
      <c r="E311" s="434"/>
    </row>
    <row r="312" spans="4:5" s="432" customFormat="1" ht="15" x14ac:dyDescent="0.25">
      <c r="D312" s="434"/>
      <c r="E312" s="434"/>
    </row>
    <row r="313" spans="4:5" s="432" customFormat="1" ht="15" x14ac:dyDescent="0.25">
      <c r="D313" s="434"/>
      <c r="E313" s="434"/>
    </row>
    <row r="314" spans="4:5" s="432" customFormat="1" ht="15" x14ac:dyDescent="0.25">
      <c r="D314" s="434"/>
      <c r="E314" s="434"/>
    </row>
    <row r="315" spans="4:5" s="432" customFormat="1" ht="15" x14ac:dyDescent="0.25">
      <c r="D315" s="434"/>
      <c r="E315" s="434"/>
    </row>
    <row r="316" spans="4:5" s="432" customFormat="1" ht="15" x14ac:dyDescent="0.25">
      <c r="D316" s="434"/>
      <c r="E316" s="434"/>
    </row>
    <row r="317" spans="4:5" s="432" customFormat="1" ht="15" x14ac:dyDescent="0.25">
      <c r="D317" s="434"/>
      <c r="E317" s="434"/>
    </row>
    <row r="318" spans="4:5" s="432" customFormat="1" ht="15" x14ac:dyDescent="0.25">
      <c r="D318" s="434"/>
      <c r="E318" s="434"/>
    </row>
    <row r="319" spans="4:5" s="432" customFormat="1" ht="15" x14ac:dyDescent="0.25">
      <c r="D319" s="434"/>
      <c r="E319" s="434"/>
    </row>
    <row r="320" spans="4:5" s="432" customFormat="1" ht="15" x14ac:dyDescent="0.25">
      <c r="D320" s="434"/>
      <c r="E320" s="434"/>
    </row>
    <row r="321" spans="4:5" s="432" customFormat="1" ht="15" x14ac:dyDescent="0.25">
      <c r="D321" s="434"/>
      <c r="E321" s="434"/>
    </row>
    <row r="322" spans="4:5" s="432" customFormat="1" ht="15" x14ac:dyDescent="0.25">
      <c r="D322" s="434"/>
      <c r="E322" s="434"/>
    </row>
    <row r="323" spans="4:5" s="432" customFormat="1" ht="15" x14ac:dyDescent="0.25">
      <c r="D323" s="434"/>
      <c r="E323" s="434"/>
    </row>
    <row r="324" spans="4:5" s="432" customFormat="1" ht="15" x14ac:dyDescent="0.25">
      <c r="D324" s="434"/>
      <c r="E324" s="434"/>
    </row>
    <row r="325" spans="4:5" s="432" customFormat="1" ht="15" x14ac:dyDescent="0.25">
      <c r="D325" s="434"/>
      <c r="E325" s="434"/>
    </row>
    <row r="326" spans="4:5" s="432" customFormat="1" ht="15" x14ac:dyDescent="0.25">
      <c r="D326" s="434"/>
      <c r="E326" s="434"/>
    </row>
    <row r="327" spans="4:5" s="432" customFormat="1" ht="15" x14ac:dyDescent="0.25">
      <c r="D327" s="434"/>
      <c r="E327" s="434"/>
    </row>
    <row r="328" spans="4:5" s="432" customFormat="1" ht="15" x14ac:dyDescent="0.25">
      <c r="D328" s="434"/>
      <c r="E328" s="434"/>
    </row>
    <row r="329" spans="4:5" s="432" customFormat="1" ht="15" x14ac:dyDescent="0.25">
      <c r="D329" s="434"/>
      <c r="E329" s="434"/>
    </row>
    <row r="330" spans="4:5" s="432" customFormat="1" ht="15" x14ac:dyDescent="0.25">
      <c r="D330" s="434"/>
      <c r="E330" s="434"/>
    </row>
    <row r="331" spans="4:5" s="432" customFormat="1" ht="15" x14ac:dyDescent="0.25">
      <c r="D331" s="434"/>
      <c r="E331" s="434"/>
    </row>
    <row r="332" spans="4:5" s="432" customFormat="1" ht="15" x14ac:dyDescent="0.25">
      <c r="D332" s="434"/>
      <c r="E332" s="434"/>
    </row>
    <row r="333" spans="4:5" s="432" customFormat="1" ht="15" x14ac:dyDescent="0.25">
      <c r="D333" s="434"/>
      <c r="E333" s="434"/>
    </row>
    <row r="334" spans="4:5" s="432" customFormat="1" ht="15" x14ac:dyDescent="0.25">
      <c r="D334" s="434"/>
      <c r="E334" s="434"/>
    </row>
    <row r="335" spans="4:5" s="432" customFormat="1" ht="15" x14ac:dyDescent="0.25">
      <c r="D335" s="434"/>
      <c r="E335" s="434"/>
    </row>
    <row r="336" spans="4:5" s="432" customFormat="1" ht="15" x14ac:dyDescent="0.25">
      <c r="D336" s="434"/>
      <c r="E336" s="434"/>
    </row>
    <row r="337" spans="4:5" s="432" customFormat="1" ht="15" x14ac:dyDescent="0.25">
      <c r="D337" s="434"/>
      <c r="E337" s="434"/>
    </row>
    <row r="338" spans="4:5" s="432" customFormat="1" ht="15" x14ac:dyDescent="0.25">
      <c r="D338" s="434"/>
      <c r="E338" s="434"/>
    </row>
    <row r="339" spans="4:5" s="432" customFormat="1" ht="15" x14ac:dyDescent="0.25">
      <c r="D339" s="434"/>
      <c r="E339" s="434"/>
    </row>
    <row r="340" spans="4:5" s="432" customFormat="1" ht="15" x14ac:dyDescent="0.25">
      <c r="D340" s="434"/>
      <c r="E340" s="434"/>
    </row>
    <row r="341" spans="4:5" s="432" customFormat="1" ht="15" x14ac:dyDescent="0.25">
      <c r="D341" s="434"/>
      <c r="E341" s="434"/>
    </row>
    <row r="342" spans="4:5" s="432" customFormat="1" ht="15" x14ac:dyDescent="0.25">
      <c r="D342" s="434"/>
      <c r="E342" s="434"/>
    </row>
    <row r="343" spans="4:5" s="432" customFormat="1" ht="15" x14ac:dyDescent="0.25">
      <c r="D343" s="434"/>
      <c r="E343" s="434"/>
    </row>
    <row r="344" spans="4:5" s="432" customFormat="1" ht="15" x14ac:dyDescent="0.25">
      <c r="D344" s="434"/>
      <c r="E344" s="434"/>
    </row>
    <row r="345" spans="4:5" s="432" customFormat="1" ht="15" x14ac:dyDescent="0.25">
      <c r="D345" s="434"/>
      <c r="E345" s="434"/>
    </row>
    <row r="346" spans="4:5" s="432" customFormat="1" ht="15" x14ac:dyDescent="0.25">
      <c r="D346" s="434"/>
      <c r="E346" s="434"/>
    </row>
    <row r="347" spans="4:5" s="432" customFormat="1" ht="15" x14ac:dyDescent="0.25">
      <c r="D347" s="434"/>
      <c r="E347" s="434"/>
    </row>
    <row r="348" spans="4:5" s="432" customFormat="1" ht="15" x14ac:dyDescent="0.25">
      <c r="D348" s="434"/>
      <c r="E348" s="434"/>
    </row>
    <row r="349" spans="4:5" s="432" customFormat="1" ht="15" x14ac:dyDescent="0.25">
      <c r="D349" s="434"/>
      <c r="E349" s="434"/>
    </row>
    <row r="350" spans="4:5" s="432" customFormat="1" ht="15" x14ac:dyDescent="0.25">
      <c r="D350" s="434"/>
      <c r="E350" s="434"/>
    </row>
    <row r="351" spans="4:5" s="432" customFormat="1" ht="15" x14ac:dyDescent="0.25">
      <c r="D351" s="434"/>
      <c r="E351" s="434"/>
    </row>
    <row r="352" spans="4:5" s="432" customFormat="1" ht="15" x14ac:dyDescent="0.25">
      <c r="D352" s="434"/>
      <c r="E352" s="434"/>
    </row>
    <row r="353" spans="4:5" s="432" customFormat="1" ht="15" x14ac:dyDescent="0.25">
      <c r="D353" s="434"/>
      <c r="E353" s="434"/>
    </row>
    <row r="354" spans="4:5" s="432" customFormat="1" ht="15" x14ac:dyDescent="0.25">
      <c r="D354" s="434"/>
      <c r="E354" s="434"/>
    </row>
    <row r="355" spans="4:5" s="432" customFormat="1" ht="15" x14ac:dyDescent="0.25">
      <c r="D355" s="434"/>
      <c r="E355" s="434"/>
    </row>
    <row r="356" spans="4:5" s="432" customFormat="1" ht="15" x14ac:dyDescent="0.25">
      <c r="D356" s="434"/>
      <c r="E356" s="434"/>
    </row>
    <row r="357" spans="4:5" s="432" customFormat="1" ht="15" x14ac:dyDescent="0.25">
      <c r="D357" s="434"/>
      <c r="E357" s="434"/>
    </row>
    <row r="358" spans="4:5" s="432" customFormat="1" ht="15" x14ac:dyDescent="0.25">
      <c r="D358" s="434"/>
      <c r="E358" s="434"/>
    </row>
    <row r="359" spans="4:5" s="432" customFormat="1" ht="15" x14ac:dyDescent="0.25">
      <c r="D359" s="434"/>
      <c r="E359" s="434"/>
    </row>
    <row r="360" spans="4:5" s="432" customFormat="1" ht="15" x14ac:dyDescent="0.25">
      <c r="D360" s="434"/>
      <c r="E360" s="434"/>
    </row>
    <row r="361" spans="4:5" s="432" customFormat="1" ht="15" x14ac:dyDescent="0.25">
      <c r="D361" s="434"/>
      <c r="E361" s="434"/>
    </row>
    <row r="362" spans="4:5" s="432" customFormat="1" ht="15" x14ac:dyDescent="0.25">
      <c r="D362" s="434"/>
      <c r="E362" s="434"/>
    </row>
    <row r="363" spans="4:5" s="432" customFormat="1" ht="15" x14ac:dyDescent="0.25">
      <c r="D363" s="434"/>
      <c r="E363" s="434"/>
    </row>
    <row r="364" spans="4:5" s="432" customFormat="1" ht="15" x14ac:dyDescent="0.25">
      <c r="D364" s="434"/>
      <c r="E364" s="434"/>
    </row>
    <row r="365" spans="4:5" s="432" customFormat="1" ht="15" x14ac:dyDescent="0.25">
      <c r="D365" s="434"/>
      <c r="E365" s="434"/>
    </row>
    <row r="366" spans="4:5" s="432" customFormat="1" ht="15" x14ac:dyDescent="0.25">
      <c r="D366" s="434"/>
      <c r="E366" s="434"/>
    </row>
    <row r="367" spans="4:5" s="432" customFormat="1" ht="15" x14ac:dyDescent="0.25">
      <c r="D367" s="434"/>
      <c r="E367" s="434"/>
    </row>
    <row r="368" spans="4:5" s="432" customFormat="1" ht="15" x14ac:dyDescent="0.25">
      <c r="D368" s="434"/>
      <c r="E368" s="434"/>
    </row>
    <row r="369" spans="4:5" s="432" customFormat="1" ht="15" x14ac:dyDescent="0.25">
      <c r="D369" s="434"/>
      <c r="E369" s="434"/>
    </row>
    <row r="370" spans="4:5" s="432" customFormat="1" ht="15" x14ac:dyDescent="0.25">
      <c r="D370" s="434"/>
      <c r="E370" s="434"/>
    </row>
    <row r="371" spans="4:5" s="432" customFormat="1" ht="15" x14ac:dyDescent="0.25">
      <c r="D371" s="434"/>
      <c r="E371" s="434"/>
    </row>
    <row r="372" spans="4:5" s="432" customFormat="1" ht="15" x14ac:dyDescent="0.25">
      <c r="D372" s="434"/>
      <c r="E372" s="434"/>
    </row>
    <row r="373" spans="4:5" s="432" customFormat="1" ht="15" x14ac:dyDescent="0.25">
      <c r="D373" s="434"/>
      <c r="E373" s="434"/>
    </row>
    <row r="374" spans="4:5" s="432" customFormat="1" ht="15" x14ac:dyDescent="0.25">
      <c r="D374" s="434"/>
      <c r="E374" s="434"/>
    </row>
    <row r="375" spans="4:5" s="432" customFormat="1" ht="15" x14ac:dyDescent="0.25">
      <c r="D375" s="434"/>
      <c r="E375" s="434"/>
    </row>
    <row r="376" spans="4:5" s="432" customFormat="1" ht="15" x14ac:dyDescent="0.25">
      <c r="D376" s="434"/>
      <c r="E376" s="434"/>
    </row>
    <row r="377" spans="4:5" s="432" customFormat="1" ht="15" x14ac:dyDescent="0.25">
      <c r="D377" s="434"/>
      <c r="E377" s="434"/>
    </row>
    <row r="378" spans="4:5" s="432" customFormat="1" ht="15" x14ac:dyDescent="0.25">
      <c r="D378" s="434"/>
      <c r="E378" s="434"/>
    </row>
    <row r="379" spans="4:5" s="432" customFormat="1" ht="15" x14ac:dyDescent="0.25">
      <c r="D379" s="434"/>
      <c r="E379" s="434"/>
    </row>
    <row r="380" spans="4:5" s="432" customFormat="1" ht="15" x14ac:dyDescent="0.25">
      <c r="D380" s="434"/>
      <c r="E380" s="434"/>
    </row>
    <row r="381" spans="4:5" s="432" customFormat="1" ht="15" x14ac:dyDescent="0.25">
      <c r="D381" s="434"/>
      <c r="E381" s="434"/>
    </row>
    <row r="382" spans="4:5" s="432" customFormat="1" ht="15" x14ac:dyDescent="0.25">
      <c r="D382" s="434"/>
      <c r="E382" s="434"/>
    </row>
    <row r="383" spans="4:5" s="432" customFormat="1" ht="15" x14ac:dyDescent="0.25">
      <c r="D383" s="434"/>
      <c r="E383" s="434"/>
    </row>
    <row r="384" spans="4:5" s="432" customFormat="1" ht="15" x14ac:dyDescent="0.25">
      <c r="D384" s="434"/>
      <c r="E384" s="434"/>
    </row>
    <row r="385" spans="4:5" s="432" customFormat="1" ht="15" x14ac:dyDescent="0.25">
      <c r="D385" s="434"/>
      <c r="E385" s="434"/>
    </row>
    <row r="386" spans="4:5" s="374" customFormat="1" x14ac:dyDescent="0.2">
      <c r="D386" s="420"/>
      <c r="E386" s="420"/>
    </row>
    <row r="387" spans="4:5" s="374" customFormat="1" x14ac:dyDescent="0.2">
      <c r="D387" s="420"/>
      <c r="E387" s="420"/>
    </row>
    <row r="388" spans="4:5" s="374" customFormat="1" x14ac:dyDescent="0.2">
      <c r="D388" s="420"/>
      <c r="E388" s="420"/>
    </row>
    <row r="389" spans="4:5" s="374" customFormat="1" x14ac:dyDescent="0.2">
      <c r="D389" s="420"/>
      <c r="E389" s="420"/>
    </row>
    <row r="390" spans="4:5" s="374" customFormat="1" x14ac:dyDescent="0.2">
      <c r="D390" s="420"/>
      <c r="E390" s="420"/>
    </row>
    <row r="391" spans="4:5" s="374" customFormat="1" x14ac:dyDescent="0.2">
      <c r="D391" s="420"/>
      <c r="E391" s="420"/>
    </row>
    <row r="392" spans="4:5" s="374" customFormat="1" x14ac:dyDescent="0.2">
      <c r="D392" s="420"/>
      <c r="E392" s="420"/>
    </row>
    <row r="393" spans="4:5" s="374" customFormat="1" x14ac:dyDescent="0.2">
      <c r="D393" s="420"/>
      <c r="E393" s="420"/>
    </row>
    <row r="394" spans="4:5" s="374" customFormat="1" x14ac:dyDescent="0.2">
      <c r="D394" s="420"/>
      <c r="E394" s="420"/>
    </row>
    <row r="395" spans="4:5" s="374" customFormat="1" x14ac:dyDescent="0.2">
      <c r="D395" s="420"/>
      <c r="E395" s="420"/>
    </row>
    <row r="396" spans="4:5" s="374" customFormat="1" x14ac:dyDescent="0.2">
      <c r="D396" s="420"/>
      <c r="E396" s="420"/>
    </row>
    <row r="397" spans="4:5" s="374" customFormat="1" x14ac:dyDescent="0.2">
      <c r="D397" s="420"/>
      <c r="E397" s="420"/>
    </row>
    <row r="398" spans="4:5" s="374" customFormat="1" x14ac:dyDescent="0.2">
      <c r="D398" s="420"/>
      <c r="E398" s="420"/>
    </row>
    <row r="399" spans="4:5" s="374" customFormat="1" x14ac:dyDescent="0.2">
      <c r="D399" s="420"/>
      <c r="E399" s="420"/>
    </row>
    <row r="400" spans="4:5" s="374" customFormat="1" x14ac:dyDescent="0.2">
      <c r="D400" s="420"/>
      <c r="E400" s="420"/>
    </row>
    <row r="401" spans="4:5" s="374" customFormat="1" x14ac:dyDescent="0.2">
      <c r="D401" s="420"/>
      <c r="E401" s="420"/>
    </row>
    <row r="402" spans="4:5" s="374" customFormat="1" x14ac:dyDescent="0.2">
      <c r="D402" s="420"/>
      <c r="E402" s="420"/>
    </row>
    <row r="403" spans="4:5" s="374" customFormat="1" x14ac:dyDescent="0.2">
      <c r="D403" s="420"/>
      <c r="E403" s="420"/>
    </row>
    <row r="404" spans="4:5" s="374" customFormat="1" x14ac:dyDescent="0.2">
      <c r="D404" s="420"/>
      <c r="E404" s="420"/>
    </row>
    <row r="405" spans="4:5" s="374" customFormat="1" x14ac:dyDescent="0.2">
      <c r="D405" s="420"/>
      <c r="E405" s="420"/>
    </row>
    <row r="406" spans="4:5" s="374" customFormat="1" x14ac:dyDescent="0.2">
      <c r="D406" s="420"/>
      <c r="E406" s="420"/>
    </row>
    <row r="407" spans="4:5" s="374" customFormat="1" x14ac:dyDescent="0.2">
      <c r="D407" s="420"/>
      <c r="E407" s="420"/>
    </row>
    <row r="408" spans="4:5" s="374" customFormat="1" x14ac:dyDescent="0.2">
      <c r="D408" s="420"/>
      <c r="E408" s="420"/>
    </row>
    <row r="409" spans="4:5" s="374" customFormat="1" x14ac:dyDescent="0.2">
      <c r="D409" s="420"/>
      <c r="E409" s="420"/>
    </row>
    <row r="410" spans="4:5" s="374" customFormat="1" x14ac:dyDescent="0.2">
      <c r="D410" s="420"/>
      <c r="E410" s="420"/>
    </row>
    <row r="411" spans="4:5" s="374" customFormat="1" x14ac:dyDescent="0.2">
      <c r="D411" s="420"/>
      <c r="E411" s="420"/>
    </row>
    <row r="412" spans="4:5" s="374" customFormat="1" x14ac:dyDescent="0.2">
      <c r="D412" s="420"/>
      <c r="E412" s="420"/>
    </row>
    <row r="413" spans="4:5" s="374" customFormat="1" x14ac:dyDescent="0.2">
      <c r="D413" s="420"/>
      <c r="E413" s="420"/>
    </row>
    <row r="414" spans="4:5" s="374" customFormat="1" x14ac:dyDescent="0.2">
      <c r="D414" s="420"/>
      <c r="E414" s="420"/>
    </row>
    <row r="415" spans="4:5" s="374" customFormat="1" x14ac:dyDescent="0.2">
      <c r="D415" s="420"/>
      <c r="E415" s="420"/>
    </row>
    <row r="416" spans="4:5" s="374" customFormat="1" x14ac:dyDescent="0.2">
      <c r="D416" s="420"/>
      <c r="E416" s="420"/>
    </row>
    <row r="417" spans="4:5" s="374" customFormat="1" x14ac:dyDescent="0.2">
      <c r="D417" s="420"/>
      <c r="E417" s="420"/>
    </row>
    <row r="418" spans="4:5" s="374" customFormat="1" x14ac:dyDescent="0.2">
      <c r="D418" s="420"/>
      <c r="E418" s="420"/>
    </row>
    <row r="419" spans="4:5" s="374" customFormat="1" x14ac:dyDescent="0.2">
      <c r="D419" s="420"/>
      <c r="E419" s="420"/>
    </row>
    <row r="420" spans="4:5" s="374" customFormat="1" x14ac:dyDescent="0.2">
      <c r="D420" s="420"/>
      <c r="E420" s="420"/>
    </row>
    <row r="421" spans="4:5" s="374" customFormat="1" x14ac:dyDescent="0.2">
      <c r="D421" s="379"/>
      <c r="E421" s="379"/>
    </row>
    <row r="422" spans="4:5" s="374" customFormat="1" x14ac:dyDescent="0.2">
      <c r="D422" s="379"/>
      <c r="E422" s="379"/>
    </row>
    <row r="423" spans="4:5" s="374" customFormat="1" x14ac:dyDescent="0.2">
      <c r="D423" s="379"/>
      <c r="E423" s="379"/>
    </row>
    <row r="424" spans="4:5" s="374" customFormat="1" x14ac:dyDescent="0.2">
      <c r="D424" s="379"/>
      <c r="E424" s="379"/>
    </row>
    <row r="425" spans="4:5" s="374" customFormat="1" x14ac:dyDescent="0.2">
      <c r="D425" s="379"/>
      <c r="E425" s="379"/>
    </row>
    <row r="426" spans="4:5" s="374" customFormat="1" x14ac:dyDescent="0.2">
      <c r="D426" s="379"/>
      <c r="E426" s="379"/>
    </row>
    <row r="427" spans="4:5" s="374" customFormat="1" x14ac:dyDescent="0.2">
      <c r="D427" s="379"/>
      <c r="E427" s="379"/>
    </row>
    <row r="428" spans="4:5" s="374" customFormat="1" x14ac:dyDescent="0.2">
      <c r="D428" s="379"/>
      <c r="E428" s="379"/>
    </row>
    <row r="429" spans="4:5" s="374" customFormat="1" x14ac:dyDescent="0.2">
      <c r="D429" s="379"/>
      <c r="E429" s="379"/>
    </row>
    <row r="430" spans="4:5" s="374" customFormat="1" x14ac:dyDescent="0.2">
      <c r="D430" s="379"/>
      <c r="E430" s="379"/>
    </row>
    <row r="431" spans="4:5" s="374" customFormat="1" x14ac:dyDescent="0.2">
      <c r="D431" s="379"/>
      <c r="E431" s="379"/>
    </row>
    <row r="432" spans="4:5" s="374" customFormat="1" x14ac:dyDescent="0.2">
      <c r="D432" s="379"/>
      <c r="E432" s="379"/>
    </row>
    <row r="433" spans="4:5" s="374" customFormat="1" x14ac:dyDescent="0.2">
      <c r="D433" s="379"/>
      <c r="E433" s="379"/>
    </row>
    <row r="434" spans="4:5" s="374" customFormat="1" x14ac:dyDescent="0.2">
      <c r="D434" s="379"/>
      <c r="E434" s="379"/>
    </row>
    <row r="435" spans="4:5" s="374" customFormat="1" x14ac:dyDescent="0.2">
      <c r="D435" s="379"/>
      <c r="E435" s="379"/>
    </row>
    <row r="436" spans="4:5" s="374" customFormat="1" x14ac:dyDescent="0.2">
      <c r="D436" s="379"/>
      <c r="E436" s="379"/>
    </row>
    <row r="437" spans="4:5" s="374" customFormat="1" x14ac:dyDescent="0.2">
      <c r="D437" s="379"/>
      <c r="E437" s="379"/>
    </row>
    <row r="438" spans="4:5" s="374" customFormat="1" x14ac:dyDescent="0.2">
      <c r="D438" s="379"/>
      <c r="E438" s="379"/>
    </row>
    <row r="439" spans="4:5" s="374" customFormat="1" x14ac:dyDescent="0.2">
      <c r="D439" s="379"/>
      <c r="E439" s="379"/>
    </row>
    <row r="440" spans="4:5" s="374" customFormat="1" x14ac:dyDescent="0.2">
      <c r="D440" s="379"/>
      <c r="E440" s="379"/>
    </row>
    <row r="441" spans="4:5" s="374" customFormat="1" x14ac:dyDescent="0.2">
      <c r="D441" s="379"/>
      <c r="E441" s="379"/>
    </row>
    <row r="442" spans="4:5" s="374" customFormat="1" x14ac:dyDescent="0.2">
      <c r="D442" s="379"/>
      <c r="E442" s="379"/>
    </row>
    <row r="443" spans="4:5" s="374" customFormat="1" x14ac:dyDescent="0.2">
      <c r="D443" s="379"/>
      <c r="E443" s="379"/>
    </row>
    <row r="444" spans="4:5" s="374" customFormat="1" x14ac:dyDescent="0.2">
      <c r="D444" s="379"/>
      <c r="E444" s="379"/>
    </row>
    <row r="445" spans="4:5" s="374" customFormat="1" x14ac:dyDescent="0.2">
      <c r="D445" s="379"/>
      <c r="E445" s="379"/>
    </row>
    <row r="446" spans="4:5" s="374" customFormat="1" x14ac:dyDescent="0.2">
      <c r="D446" s="379"/>
      <c r="E446" s="379"/>
    </row>
    <row r="447" spans="4:5" s="374" customFormat="1" x14ac:dyDescent="0.2">
      <c r="D447" s="379"/>
      <c r="E447" s="379"/>
    </row>
    <row r="448" spans="4:5" s="374" customFormat="1" x14ac:dyDescent="0.2">
      <c r="D448" s="379"/>
      <c r="E448" s="379"/>
    </row>
    <row r="449" spans="4:5" s="374" customFormat="1" x14ac:dyDescent="0.2">
      <c r="D449" s="379"/>
      <c r="E449" s="379"/>
    </row>
    <row r="450" spans="4:5" s="374" customFormat="1" x14ac:dyDescent="0.2">
      <c r="D450" s="379"/>
      <c r="E450" s="379"/>
    </row>
    <row r="451" spans="4:5" s="374" customFormat="1" x14ac:dyDescent="0.2">
      <c r="D451" s="379"/>
      <c r="E451" s="379"/>
    </row>
    <row r="452" spans="4:5" s="374" customFormat="1" x14ac:dyDescent="0.2">
      <c r="D452" s="379"/>
      <c r="E452" s="379"/>
    </row>
    <row r="453" spans="4:5" s="374" customFormat="1" x14ac:dyDescent="0.2">
      <c r="D453" s="379"/>
      <c r="E453" s="379"/>
    </row>
    <row r="454" spans="4:5" s="374" customFormat="1" x14ac:dyDescent="0.2">
      <c r="D454" s="379"/>
      <c r="E454" s="379"/>
    </row>
    <row r="455" spans="4:5" s="374" customFormat="1" x14ac:dyDescent="0.2">
      <c r="D455" s="379"/>
      <c r="E455" s="379"/>
    </row>
    <row r="456" spans="4:5" s="374" customFormat="1" x14ac:dyDescent="0.2">
      <c r="D456" s="379"/>
      <c r="E456" s="379"/>
    </row>
    <row r="457" spans="4:5" s="374" customFormat="1" x14ac:dyDescent="0.2">
      <c r="D457" s="379"/>
      <c r="E457" s="379"/>
    </row>
    <row r="458" spans="4:5" s="374" customFormat="1" x14ac:dyDescent="0.2">
      <c r="D458" s="379"/>
      <c r="E458" s="379"/>
    </row>
    <row r="459" spans="4:5" s="374" customFormat="1" x14ac:dyDescent="0.2">
      <c r="D459" s="379"/>
      <c r="E459" s="379"/>
    </row>
    <row r="460" spans="4:5" s="374" customFormat="1" x14ac:dyDescent="0.2">
      <c r="D460" s="379"/>
      <c r="E460" s="379"/>
    </row>
    <row r="461" spans="4:5" s="374" customFormat="1" x14ac:dyDescent="0.2">
      <c r="D461" s="379"/>
      <c r="E461" s="379"/>
    </row>
    <row r="462" spans="4:5" s="374" customFormat="1" x14ac:dyDescent="0.2">
      <c r="D462" s="379"/>
      <c r="E462" s="379"/>
    </row>
    <row r="463" spans="4:5" s="374" customFormat="1" x14ac:dyDescent="0.2">
      <c r="D463" s="379"/>
      <c r="E463" s="379"/>
    </row>
    <row r="464" spans="4:5" s="374" customFormat="1" x14ac:dyDescent="0.2">
      <c r="D464" s="379"/>
      <c r="E464" s="379"/>
    </row>
    <row r="465" spans="4:5" s="374" customFormat="1" x14ac:dyDescent="0.2">
      <c r="D465" s="379"/>
      <c r="E465" s="379"/>
    </row>
    <row r="466" spans="4:5" s="374" customFormat="1" x14ac:dyDescent="0.2">
      <c r="D466" s="379"/>
      <c r="E466" s="379"/>
    </row>
    <row r="467" spans="4:5" s="374" customFormat="1" x14ac:dyDescent="0.2">
      <c r="D467" s="379"/>
      <c r="E467" s="379"/>
    </row>
    <row r="468" spans="4:5" s="374" customFormat="1" x14ac:dyDescent="0.2">
      <c r="D468" s="379"/>
      <c r="E468" s="379"/>
    </row>
    <row r="469" spans="4:5" s="374" customFormat="1" x14ac:dyDescent="0.2">
      <c r="D469" s="379"/>
      <c r="E469" s="379"/>
    </row>
    <row r="470" spans="4:5" s="374" customFormat="1" x14ac:dyDescent="0.2">
      <c r="D470" s="379"/>
      <c r="E470" s="379"/>
    </row>
    <row r="471" spans="4:5" s="374" customFormat="1" x14ac:dyDescent="0.2">
      <c r="D471" s="379"/>
      <c r="E471" s="379"/>
    </row>
    <row r="472" spans="4:5" s="374" customFormat="1" x14ac:dyDescent="0.2">
      <c r="D472" s="379"/>
      <c r="E472" s="379"/>
    </row>
    <row r="473" spans="4:5" s="374" customFormat="1" x14ac:dyDescent="0.2">
      <c r="D473" s="379"/>
      <c r="E473" s="379"/>
    </row>
    <row r="474" spans="4:5" s="374" customFormat="1" x14ac:dyDescent="0.2">
      <c r="D474" s="379"/>
      <c r="E474" s="379"/>
    </row>
    <row r="475" spans="4:5" s="374" customFormat="1" x14ac:dyDescent="0.2">
      <c r="D475" s="379"/>
      <c r="E475" s="379"/>
    </row>
    <row r="476" spans="4:5" s="374" customFormat="1" x14ac:dyDescent="0.2">
      <c r="D476" s="379"/>
      <c r="E476" s="379"/>
    </row>
    <row r="477" spans="4:5" s="374" customFormat="1" x14ac:dyDescent="0.2">
      <c r="D477" s="379"/>
      <c r="E477" s="379"/>
    </row>
    <row r="478" spans="4:5" s="374" customFormat="1" x14ac:dyDescent="0.2">
      <c r="D478" s="379"/>
      <c r="E478" s="379"/>
    </row>
    <row r="479" spans="4:5" s="374" customFormat="1" x14ac:dyDescent="0.2">
      <c r="D479" s="379"/>
      <c r="E479" s="379"/>
    </row>
    <row r="480" spans="4:5" s="374" customFormat="1" x14ac:dyDescent="0.2">
      <c r="D480" s="379"/>
      <c r="E480" s="379"/>
    </row>
    <row r="481" spans="4:5" s="374" customFormat="1" x14ac:dyDescent="0.2">
      <c r="D481" s="379"/>
      <c r="E481" s="379"/>
    </row>
    <row r="482" spans="4:5" s="374" customFormat="1" x14ac:dyDescent="0.2">
      <c r="D482" s="379"/>
      <c r="E482" s="379"/>
    </row>
    <row r="483" spans="4:5" s="374" customFormat="1" x14ac:dyDescent="0.2">
      <c r="D483" s="379"/>
      <c r="E483" s="379"/>
    </row>
    <row r="484" spans="4:5" s="374" customFormat="1" x14ac:dyDescent="0.2">
      <c r="D484" s="379"/>
      <c r="E484" s="379"/>
    </row>
    <row r="485" spans="4:5" s="374" customFormat="1" x14ac:dyDescent="0.2">
      <c r="D485" s="379"/>
      <c r="E485" s="379"/>
    </row>
    <row r="486" spans="4:5" s="374" customFormat="1" x14ac:dyDescent="0.2">
      <c r="D486" s="379"/>
      <c r="E486" s="379"/>
    </row>
    <row r="487" spans="4:5" s="374" customFormat="1" x14ac:dyDescent="0.2">
      <c r="D487" s="379"/>
      <c r="E487" s="379"/>
    </row>
    <row r="488" spans="4:5" s="374" customFormat="1" x14ac:dyDescent="0.2">
      <c r="D488" s="379"/>
      <c r="E488" s="379"/>
    </row>
    <row r="489" spans="4:5" s="374" customFormat="1" x14ac:dyDescent="0.2">
      <c r="D489" s="379"/>
      <c r="E489" s="379"/>
    </row>
    <row r="490" spans="4:5" s="374" customFormat="1" x14ac:dyDescent="0.2">
      <c r="D490" s="379"/>
      <c r="E490" s="379"/>
    </row>
    <row r="491" spans="4:5" s="374" customFormat="1" x14ac:dyDescent="0.2">
      <c r="D491" s="379"/>
      <c r="E491" s="379"/>
    </row>
    <row r="492" spans="4:5" s="374" customFormat="1" x14ac:dyDescent="0.2">
      <c r="D492" s="379"/>
      <c r="E492" s="379"/>
    </row>
    <row r="493" spans="4:5" s="374" customFormat="1" x14ac:dyDescent="0.2">
      <c r="D493" s="379"/>
      <c r="E493" s="379"/>
    </row>
    <row r="494" spans="4:5" s="374" customFormat="1" x14ac:dyDescent="0.2">
      <c r="D494" s="379"/>
      <c r="E494" s="379"/>
    </row>
    <row r="495" spans="4:5" s="374" customFormat="1" x14ac:dyDescent="0.2">
      <c r="D495" s="379"/>
      <c r="E495" s="379"/>
    </row>
    <row r="496" spans="4:5" s="374" customFormat="1" x14ac:dyDescent="0.2">
      <c r="D496" s="379"/>
      <c r="E496" s="379"/>
    </row>
    <row r="497" spans="4:5" s="374" customFormat="1" x14ac:dyDescent="0.2">
      <c r="D497" s="379"/>
      <c r="E497" s="379"/>
    </row>
    <row r="498" spans="4:5" s="374" customFormat="1" x14ac:dyDescent="0.2">
      <c r="D498" s="379"/>
      <c r="E498" s="379"/>
    </row>
    <row r="499" spans="4:5" s="374" customFormat="1" x14ac:dyDescent="0.2">
      <c r="D499" s="379"/>
      <c r="E499" s="379"/>
    </row>
    <row r="500" spans="4:5" s="374" customFormat="1" x14ac:dyDescent="0.2">
      <c r="D500" s="379"/>
      <c r="E500" s="379"/>
    </row>
    <row r="501" spans="4:5" s="374" customFormat="1" x14ac:dyDescent="0.2">
      <c r="D501" s="379"/>
      <c r="E501" s="379"/>
    </row>
    <row r="502" spans="4:5" s="374" customFormat="1" x14ac:dyDescent="0.2">
      <c r="D502" s="379"/>
      <c r="E502" s="379"/>
    </row>
    <row r="503" spans="4:5" s="374" customFormat="1" x14ac:dyDescent="0.2">
      <c r="D503" s="379"/>
      <c r="E503" s="379"/>
    </row>
    <row r="504" spans="4:5" s="374" customFormat="1" x14ac:dyDescent="0.2">
      <c r="D504" s="379"/>
      <c r="E504" s="379"/>
    </row>
    <row r="505" spans="4:5" s="374" customFormat="1" x14ac:dyDescent="0.2">
      <c r="D505" s="379"/>
      <c r="E505" s="379"/>
    </row>
    <row r="506" spans="4:5" s="374" customFormat="1" x14ac:dyDescent="0.2">
      <c r="D506" s="379"/>
      <c r="E506" s="379"/>
    </row>
    <row r="507" spans="4:5" s="374" customFormat="1" x14ac:dyDescent="0.2">
      <c r="D507" s="379"/>
      <c r="E507" s="379"/>
    </row>
    <row r="508" spans="4:5" s="374" customFormat="1" x14ac:dyDescent="0.2">
      <c r="D508" s="379"/>
      <c r="E508" s="379"/>
    </row>
    <row r="509" spans="4:5" s="374" customFormat="1" x14ac:dyDescent="0.2">
      <c r="D509" s="379"/>
      <c r="E509" s="379"/>
    </row>
    <row r="510" spans="4:5" s="374" customFormat="1" x14ac:dyDescent="0.2">
      <c r="D510" s="379"/>
      <c r="E510" s="379"/>
    </row>
    <row r="511" spans="4:5" s="374" customFormat="1" x14ac:dyDescent="0.2">
      <c r="D511" s="379"/>
      <c r="E511" s="379"/>
    </row>
    <row r="512" spans="4:5" s="374" customFormat="1" x14ac:dyDescent="0.2">
      <c r="D512" s="379"/>
      <c r="E512" s="379"/>
    </row>
    <row r="513" spans="4:5" s="374" customFormat="1" x14ac:dyDescent="0.2">
      <c r="D513" s="379"/>
      <c r="E513" s="379"/>
    </row>
    <row r="514" spans="4:5" s="374" customFormat="1" x14ac:dyDescent="0.2">
      <c r="D514" s="379"/>
      <c r="E514" s="379"/>
    </row>
    <row r="515" spans="4:5" s="374" customFormat="1" x14ac:dyDescent="0.2">
      <c r="D515" s="379"/>
      <c r="E515" s="379"/>
    </row>
    <row r="516" spans="4:5" s="374" customFormat="1" x14ac:dyDescent="0.2">
      <c r="D516" s="379"/>
      <c r="E516" s="379"/>
    </row>
    <row r="517" spans="4:5" s="374" customFormat="1" x14ac:dyDescent="0.2">
      <c r="D517" s="379"/>
      <c r="E517" s="379"/>
    </row>
    <row r="518" spans="4:5" s="374" customFormat="1" x14ac:dyDescent="0.2">
      <c r="D518" s="379"/>
      <c r="E518" s="379"/>
    </row>
    <row r="519" spans="4:5" s="374" customFormat="1" x14ac:dyDescent="0.2">
      <c r="D519" s="379"/>
      <c r="E519" s="379"/>
    </row>
    <row r="520" spans="4:5" s="374" customFormat="1" x14ac:dyDescent="0.2">
      <c r="D520" s="379"/>
      <c r="E520" s="379"/>
    </row>
    <row r="521" spans="4:5" s="374" customFormat="1" x14ac:dyDescent="0.2">
      <c r="D521" s="379"/>
      <c r="E521" s="379"/>
    </row>
    <row r="522" spans="4:5" s="374" customFormat="1" x14ac:dyDescent="0.2">
      <c r="D522" s="379"/>
      <c r="E522" s="379"/>
    </row>
    <row r="523" spans="4:5" s="374" customFormat="1" x14ac:dyDescent="0.2">
      <c r="D523" s="379"/>
      <c r="E523" s="379"/>
    </row>
    <row r="524" spans="4:5" s="374" customFormat="1" x14ac:dyDescent="0.2">
      <c r="D524" s="379"/>
      <c r="E524" s="379"/>
    </row>
    <row r="525" spans="4:5" s="374" customFormat="1" x14ac:dyDescent="0.2">
      <c r="D525" s="379"/>
      <c r="E525" s="379"/>
    </row>
    <row r="526" spans="4:5" s="374" customFormat="1" x14ac:dyDescent="0.2">
      <c r="D526" s="379"/>
      <c r="E526" s="379"/>
    </row>
    <row r="527" spans="4:5" s="374" customFormat="1" x14ac:dyDescent="0.2">
      <c r="D527" s="379"/>
      <c r="E527" s="379"/>
    </row>
    <row r="528" spans="4:5" s="374" customFormat="1" x14ac:dyDescent="0.2">
      <c r="D528" s="379"/>
      <c r="E528" s="379"/>
    </row>
    <row r="529" spans="4:5" s="374" customFormat="1" x14ac:dyDescent="0.2">
      <c r="D529" s="379"/>
      <c r="E529" s="379"/>
    </row>
    <row r="530" spans="4:5" s="374" customFormat="1" x14ac:dyDescent="0.2">
      <c r="D530" s="379"/>
      <c r="E530" s="379"/>
    </row>
    <row r="531" spans="4:5" s="374" customFormat="1" x14ac:dyDescent="0.2">
      <c r="D531" s="379"/>
      <c r="E531" s="379"/>
    </row>
    <row r="532" spans="4:5" s="374" customFormat="1" x14ac:dyDescent="0.2">
      <c r="D532" s="379"/>
      <c r="E532" s="379"/>
    </row>
    <row r="533" spans="4:5" s="374" customFormat="1" x14ac:dyDescent="0.2">
      <c r="D533" s="379"/>
      <c r="E533" s="379"/>
    </row>
    <row r="534" spans="4:5" s="374" customFormat="1" x14ac:dyDescent="0.2">
      <c r="D534" s="379"/>
      <c r="E534" s="379"/>
    </row>
    <row r="535" spans="4:5" s="374" customFormat="1" x14ac:dyDescent="0.2">
      <c r="D535" s="379"/>
      <c r="E535" s="379"/>
    </row>
    <row r="536" spans="4:5" s="374" customFormat="1" x14ac:dyDescent="0.2">
      <c r="D536" s="379"/>
      <c r="E536" s="379"/>
    </row>
    <row r="537" spans="4:5" s="374" customFormat="1" x14ac:dyDescent="0.2">
      <c r="D537" s="379"/>
      <c r="E537" s="379"/>
    </row>
    <row r="538" spans="4:5" s="374" customFormat="1" x14ac:dyDescent="0.2">
      <c r="D538" s="379"/>
      <c r="E538" s="379"/>
    </row>
    <row r="539" spans="4:5" s="374" customFormat="1" x14ac:dyDescent="0.2">
      <c r="D539" s="379"/>
      <c r="E539" s="379"/>
    </row>
    <row r="540" spans="4:5" s="374" customFormat="1" x14ac:dyDescent="0.2">
      <c r="D540" s="379"/>
      <c r="E540" s="379"/>
    </row>
    <row r="541" spans="4:5" s="374" customFormat="1" x14ac:dyDescent="0.2">
      <c r="D541" s="379"/>
      <c r="E541" s="379"/>
    </row>
    <row r="542" spans="4:5" s="374" customFormat="1" x14ac:dyDescent="0.2">
      <c r="D542" s="379"/>
      <c r="E542" s="379"/>
    </row>
    <row r="543" spans="4:5" s="374" customFormat="1" x14ac:dyDescent="0.2">
      <c r="D543" s="379"/>
      <c r="E543" s="379"/>
    </row>
    <row r="544" spans="4:5" s="374" customFormat="1" x14ac:dyDescent="0.2">
      <c r="D544" s="379"/>
      <c r="E544" s="379"/>
    </row>
    <row r="545" spans="4:5" s="374" customFormat="1" x14ac:dyDescent="0.2">
      <c r="D545" s="379"/>
      <c r="E545" s="379"/>
    </row>
    <row r="546" spans="4:5" s="374" customFormat="1" x14ac:dyDescent="0.2">
      <c r="D546" s="379"/>
      <c r="E546" s="379"/>
    </row>
    <row r="547" spans="4:5" s="374" customFormat="1" x14ac:dyDescent="0.2">
      <c r="D547" s="379"/>
      <c r="E547" s="379"/>
    </row>
    <row r="548" spans="4:5" s="374" customFormat="1" x14ac:dyDescent="0.2">
      <c r="D548" s="379"/>
      <c r="E548" s="379"/>
    </row>
    <row r="549" spans="4:5" s="374" customFormat="1" x14ac:dyDescent="0.2">
      <c r="D549" s="379"/>
      <c r="E549" s="379"/>
    </row>
    <row r="550" spans="4:5" s="374" customFormat="1" x14ac:dyDescent="0.2">
      <c r="D550" s="379"/>
      <c r="E550" s="379"/>
    </row>
    <row r="551" spans="4:5" s="374" customFormat="1" x14ac:dyDescent="0.2">
      <c r="D551" s="379"/>
      <c r="E551" s="379"/>
    </row>
    <row r="552" spans="4:5" s="374" customFormat="1" x14ac:dyDescent="0.2">
      <c r="D552" s="379"/>
      <c r="E552" s="379"/>
    </row>
    <row r="553" spans="4:5" s="374" customFormat="1" x14ac:dyDescent="0.2">
      <c r="D553" s="379"/>
      <c r="E553" s="379"/>
    </row>
    <row r="554" spans="4:5" s="374" customFormat="1" x14ac:dyDescent="0.2">
      <c r="D554" s="379"/>
      <c r="E554" s="379"/>
    </row>
    <row r="555" spans="4:5" s="374" customFormat="1" x14ac:dyDescent="0.2">
      <c r="D555" s="379"/>
      <c r="E555" s="379"/>
    </row>
    <row r="556" spans="4:5" s="374" customFormat="1" x14ac:dyDescent="0.2">
      <c r="D556" s="379"/>
      <c r="E556" s="379"/>
    </row>
    <row r="557" spans="4:5" s="374" customFormat="1" x14ac:dyDescent="0.2">
      <c r="D557" s="379"/>
      <c r="E557" s="379"/>
    </row>
    <row r="558" spans="4:5" s="374" customFormat="1" x14ac:dyDescent="0.2">
      <c r="D558" s="379"/>
      <c r="E558" s="379"/>
    </row>
    <row r="559" spans="4:5" s="374" customFormat="1" x14ac:dyDescent="0.2">
      <c r="D559" s="379"/>
      <c r="E559" s="379"/>
    </row>
    <row r="560" spans="4:5" s="374" customFormat="1" x14ac:dyDescent="0.2">
      <c r="D560" s="379"/>
      <c r="E560" s="379"/>
    </row>
    <row r="561" spans="4:5" s="374" customFormat="1" x14ac:dyDescent="0.2">
      <c r="D561" s="379"/>
      <c r="E561" s="379"/>
    </row>
    <row r="562" spans="4:5" s="374" customFormat="1" x14ac:dyDescent="0.2">
      <c r="D562" s="379"/>
      <c r="E562" s="379"/>
    </row>
    <row r="563" spans="4:5" s="374" customFormat="1" x14ac:dyDescent="0.2">
      <c r="D563" s="379"/>
      <c r="E563" s="379"/>
    </row>
    <row r="564" spans="4:5" s="374" customFormat="1" x14ac:dyDescent="0.2">
      <c r="D564" s="379"/>
      <c r="E564" s="379"/>
    </row>
    <row r="565" spans="4:5" s="374" customFormat="1" x14ac:dyDescent="0.2">
      <c r="D565" s="379"/>
      <c r="E565" s="379"/>
    </row>
    <row r="566" spans="4:5" s="374" customFormat="1" x14ac:dyDescent="0.2">
      <c r="D566" s="379"/>
      <c r="E566" s="379"/>
    </row>
    <row r="567" spans="4:5" s="374" customFormat="1" x14ac:dyDescent="0.2">
      <c r="D567" s="379"/>
      <c r="E567" s="379"/>
    </row>
    <row r="568" spans="4:5" s="374" customFormat="1" x14ac:dyDescent="0.2">
      <c r="D568" s="379"/>
      <c r="E568" s="379"/>
    </row>
    <row r="569" spans="4:5" s="374" customFormat="1" x14ac:dyDescent="0.2">
      <c r="D569" s="379"/>
      <c r="E569" s="379"/>
    </row>
    <row r="570" spans="4:5" s="374" customFormat="1" x14ac:dyDescent="0.2">
      <c r="D570" s="379"/>
      <c r="E570" s="379"/>
    </row>
    <row r="571" spans="4:5" s="374" customFormat="1" x14ac:dyDescent="0.2">
      <c r="D571" s="379"/>
      <c r="E571" s="379"/>
    </row>
    <row r="572" spans="4:5" s="374" customFormat="1" x14ac:dyDescent="0.2">
      <c r="D572" s="379"/>
      <c r="E572" s="379"/>
    </row>
    <row r="573" spans="4:5" s="374" customFormat="1" x14ac:dyDescent="0.2">
      <c r="D573" s="379"/>
      <c r="E573" s="379"/>
    </row>
    <row r="574" spans="4:5" s="374" customFormat="1" x14ac:dyDescent="0.2">
      <c r="D574" s="379"/>
      <c r="E574" s="379"/>
    </row>
    <row r="575" spans="4:5" s="374" customFormat="1" x14ac:dyDescent="0.2">
      <c r="D575" s="379"/>
      <c r="E575" s="379"/>
    </row>
    <row r="576" spans="4:5" s="374" customFormat="1" x14ac:dyDescent="0.2">
      <c r="D576" s="379"/>
      <c r="E576" s="379"/>
    </row>
    <row r="577" spans="4:5" s="374" customFormat="1" x14ac:dyDescent="0.2">
      <c r="D577" s="379"/>
      <c r="E577" s="379"/>
    </row>
    <row r="578" spans="4:5" s="374" customFormat="1" x14ac:dyDescent="0.2">
      <c r="D578" s="379"/>
      <c r="E578" s="379"/>
    </row>
    <row r="579" spans="4:5" s="374" customFormat="1" x14ac:dyDescent="0.2">
      <c r="D579" s="379"/>
      <c r="E579" s="379"/>
    </row>
    <row r="580" spans="4:5" s="374" customFormat="1" x14ac:dyDescent="0.2">
      <c r="D580" s="379"/>
      <c r="E580" s="379"/>
    </row>
    <row r="581" spans="4:5" s="374" customFormat="1" x14ac:dyDescent="0.2">
      <c r="D581" s="379"/>
      <c r="E581" s="379"/>
    </row>
    <row r="582" spans="4:5" s="374" customFormat="1" x14ac:dyDescent="0.2">
      <c r="D582" s="379"/>
      <c r="E582" s="379"/>
    </row>
    <row r="583" spans="4:5" s="374" customFormat="1" x14ac:dyDescent="0.2">
      <c r="D583" s="379"/>
      <c r="E583" s="379"/>
    </row>
    <row r="584" spans="4:5" s="374" customFormat="1" x14ac:dyDescent="0.2">
      <c r="D584" s="379"/>
      <c r="E584" s="379"/>
    </row>
    <row r="585" spans="4:5" s="374" customFormat="1" x14ac:dyDescent="0.2">
      <c r="D585" s="379"/>
      <c r="E585" s="379"/>
    </row>
    <row r="586" spans="4:5" s="374" customFormat="1" x14ac:dyDescent="0.2">
      <c r="D586" s="379"/>
      <c r="E586" s="379"/>
    </row>
    <row r="587" spans="4:5" s="374" customFormat="1" x14ac:dyDescent="0.2">
      <c r="D587" s="379"/>
      <c r="E587" s="379"/>
    </row>
    <row r="588" spans="4:5" s="374" customFormat="1" x14ac:dyDescent="0.2">
      <c r="D588" s="379"/>
      <c r="E588" s="379"/>
    </row>
    <row r="589" spans="4:5" s="374" customFormat="1" x14ac:dyDescent="0.2">
      <c r="D589" s="379"/>
      <c r="E589" s="379"/>
    </row>
    <row r="590" spans="4:5" s="374" customFormat="1" x14ac:dyDescent="0.2">
      <c r="D590" s="379"/>
      <c r="E590" s="379"/>
    </row>
    <row r="591" spans="4:5" s="374" customFormat="1" x14ac:dyDescent="0.2">
      <c r="D591" s="379"/>
      <c r="E591" s="379"/>
    </row>
    <row r="592" spans="4:5" s="374" customFormat="1" x14ac:dyDescent="0.2">
      <c r="D592" s="379"/>
      <c r="E592" s="379"/>
    </row>
    <row r="593" spans="4:5" s="374" customFormat="1" x14ac:dyDescent="0.2">
      <c r="D593" s="379"/>
      <c r="E593" s="379"/>
    </row>
    <row r="594" spans="4:5" s="374" customFormat="1" x14ac:dyDescent="0.2">
      <c r="D594" s="379"/>
      <c r="E594" s="379"/>
    </row>
    <row r="595" spans="4:5" s="374" customFormat="1" x14ac:dyDescent="0.2">
      <c r="D595" s="379"/>
      <c r="E595" s="379"/>
    </row>
    <row r="596" spans="4:5" s="374" customFormat="1" x14ac:dyDescent="0.2">
      <c r="D596" s="379"/>
      <c r="E596" s="379"/>
    </row>
    <row r="597" spans="4:5" s="374" customFormat="1" x14ac:dyDescent="0.2">
      <c r="D597" s="379"/>
      <c r="E597" s="379"/>
    </row>
    <row r="598" spans="4:5" s="374" customFormat="1" x14ac:dyDescent="0.2">
      <c r="D598" s="379"/>
      <c r="E598" s="379"/>
    </row>
    <row r="599" spans="4:5" s="374" customFormat="1" x14ac:dyDescent="0.2">
      <c r="D599" s="379"/>
      <c r="E599" s="379"/>
    </row>
    <row r="600" spans="4:5" s="374" customFormat="1" x14ac:dyDescent="0.2">
      <c r="D600" s="379"/>
      <c r="E600" s="379"/>
    </row>
    <row r="601" spans="4:5" s="374" customFormat="1" x14ac:dyDescent="0.2">
      <c r="D601" s="379"/>
      <c r="E601" s="379"/>
    </row>
    <row r="602" spans="4:5" s="374" customFormat="1" x14ac:dyDescent="0.2">
      <c r="D602" s="379"/>
      <c r="E602" s="379"/>
    </row>
    <row r="603" spans="4:5" s="374" customFormat="1" x14ac:dyDescent="0.2">
      <c r="D603" s="379"/>
      <c r="E603" s="379"/>
    </row>
    <row r="604" spans="4:5" s="374" customFormat="1" x14ac:dyDescent="0.2">
      <c r="D604" s="379"/>
      <c r="E604" s="379"/>
    </row>
    <row r="605" spans="4:5" s="374" customFormat="1" x14ac:dyDescent="0.2">
      <c r="D605" s="379"/>
      <c r="E605" s="379"/>
    </row>
    <row r="606" spans="4:5" s="374" customFormat="1" x14ac:dyDescent="0.2">
      <c r="D606" s="379"/>
      <c r="E606" s="379"/>
    </row>
    <row r="607" spans="4:5" s="374" customFormat="1" x14ac:dyDescent="0.2">
      <c r="D607" s="379"/>
      <c r="E607" s="379"/>
    </row>
    <row r="608" spans="4:5" s="374" customFormat="1" x14ac:dyDescent="0.2">
      <c r="D608" s="379"/>
      <c r="E608" s="379"/>
    </row>
    <row r="609" spans="4:5" s="374" customFormat="1" x14ac:dyDescent="0.2">
      <c r="D609" s="379"/>
      <c r="E609" s="379"/>
    </row>
    <row r="610" spans="4:5" s="374" customFormat="1" x14ac:dyDescent="0.2">
      <c r="D610" s="379"/>
      <c r="E610" s="379"/>
    </row>
    <row r="611" spans="4:5" s="374" customFormat="1" x14ac:dyDescent="0.2">
      <c r="D611" s="379"/>
      <c r="E611" s="379"/>
    </row>
    <row r="612" spans="4:5" s="374" customFormat="1" x14ac:dyDescent="0.2">
      <c r="D612" s="379"/>
      <c r="E612" s="379"/>
    </row>
    <row r="613" spans="4:5" s="374" customFormat="1" x14ac:dyDescent="0.2">
      <c r="D613" s="379"/>
      <c r="E613" s="379"/>
    </row>
    <row r="614" spans="4:5" s="374" customFormat="1" x14ac:dyDescent="0.2">
      <c r="D614" s="379"/>
      <c r="E614" s="379"/>
    </row>
    <row r="615" spans="4:5" s="374" customFormat="1" x14ac:dyDescent="0.2">
      <c r="D615" s="379"/>
      <c r="E615" s="379"/>
    </row>
    <row r="616" spans="4:5" s="374" customFormat="1" x14ac:dyDescent="0.2">
      <c r="D616" s="379"/>
      <c r="E616" s="379"/>
    </row>
    <row r="617" spans="4:5" s="374" customFormat="1" x14ac:dyDescent="0.2">
      <c r="D617" s="379"/>
      <c r="E617" s="379"/>
    </row>
    <row r="618" spans="4:5" s="374" customFormat="1" x14ac:dyDescent="0.2">
      <c r="D618" s="379"/>
      <c r="E618" s="379"/>
    </row>
    <row r="619" spans="4:5" s="374" customFormat="1" x14ac:dyDescent="0.2">
      <c r="D619" s="379"/>
      <c r="E619" s="379"/>
    </row>
    <row r="620" spans="4:5" s="374" customFormat="1" x14ac:dyDescent="0.2">
      <c r="D620" s="379"/>
      <c r="E620" s="379"/>
    </row>
    <row r="621" spans="4:5" s="374" customFormat="1" x14ac:dyDescent="0.2">
      <c r="D621" s="379"/>
      <c r="E621" s="379"/>
    </row>
    <row r="622" spans="4:5" s="374" customFormat="1" x14ac:dyDescent="0.2">
      <c r="D622" s="379"/>
      <c r="E622" s="379"/>
    </row>
    <row r="623" spans="4:5" s="374" customFormat="1" x14ac:dyDescent="0.2">
      <c r="D623" s="379"/>
      <c r="E623" s="379"/>
    </row>
    <row r="624" spans="4:5" s="374" customFormat="1" x14ac:dyDescent="0.2">
      <c r="D624" s="379"/>
      <c r="E624" s="379"/>
    </row>
    <row r="625" spans="4:5" s="374" customFormat="1" x14ac:dyDescent="0.2">
      <c r="D625" s="379"/>
      <c r="E625" s="379"/>
    </row>
    <row r="626" spans="4:5" s="374" customFormat="1" x14ac:dyDescent="0.2">
      <c r="D626" s="379"/>
      <c r="E626" s="379"/>
    </row>
    <row r="627" spans="4:5" s="374" customFormat="1" x14ac:dyDescent="0.2">
      <c r="D627" s="379"/>
      <c r="E627" s="379"/>
    </row>
    <row r="628" spans="4:5" s="374" customFormat="1" x14ac:dyDescent="0.2">
      <c r="D628" s="379"/>
      <c r="E628" s="379"/>
    </row>
    <row r="629" spans="4:5" s="374" customFormat="1" x14ac:dyDescent="0.2">
      <c r="D629" s="379"/>
      <c r="E629" s="379"/>
    </row>
    <row r="630" spans="4:5" s="374" customFormat="1" x14ac:dyDescent="0.2">
      <c r="D630" s="379"/>
      <c r="E630" s="379"/>
    </row>
    <row r="631" spans="4:5" s="374" customFormat="1" x14ac:dyDescent="0.2">
      <c r="D631" s="379"/>
      <c r="E631" s="379"/>
    </row>
    <row r="632" spans="4:5" s="374" customFormat="1" x14ac:dyDescent="0.2">
      <c r="D632" s="379"/>
      <c r="E632" s="379"/>
    </row>
    <row r="633" spans="4:5" s="374" customFormat="1" x14ac:dyDescent="0.2">
      <c r="D633" s="379"/>
      <c r="E633" s="379"/>
    </row>
    <row r="634" spans="4:5" s="374" customFormat="1" x14ac:dyDescent="0.2">
      <c r="D634" s="379"/>
      <c r="E634" s="379"/>
    </row>
    <row r="635" spans="4:5" s="374" customFormat="1" x14ac:dyDescent="0.2">
      <c r="D635" s="379"/>
      <c r="E635" s="379"/>
    </row>
    <row r="636" spans="4:5" s="374" customFormat="1" x14ac:dyDescent="0.2">
      <c r="D636" s="379"/>
      <c r="E636" s="379"/>
    </row>
    <row r="637" spans="4:5" s="374" customFormat="1" x14ac:dyDescent="0.2">
      <c r="D637" s="379"/>
      <c r="E637" s="379"/>
    </row>
    <row r="638" spans="4:5" s="374" customFormat="1" x14ac:dyDescent="0.2">
      <c r="D638" s="379"/>
      <c r="E638" s="379"/>
    </row>
    <row r="639" spans="4:5" s="374" customFormat="1" x14ac:dyDescent="0.2">
      <c r="D639" s="379"/>
      <c r="E639" s="379"/>
    </row>
    <row r="640" spans="4:5" s="374" customFormat="1" x14ac:dyDescent="0.2">
      <c r="D640" s="379"/>
      <c r="E640" s="379"/>
    </row>
    <row r="641" spans="4:5" s="374" customFormat="1" x14ac:dyDescent="0.2">
      <c r="D641" s="379"/>
      <c r="E641" s="379"/>
    </row>
    <row r="642" spans="4:5" s="374" customFormat="1" x14ac:dyDescent="0.2">
      <c r="D642" s="379"/>
      <c r="E642" s="379"/>
    </row>
    <row r="643" spans="4:5" s="374" customFormat="1" x14ac:dyDescent="0.2">
      <c r="D643" s="379"/>
      <c r="E643" s="379"/>
    </row>
    <row r="644" spans="4:5" s="374" customFormat="1" x14ac:dyDescent="0.2">
      <c r="D644" s="379"/>
      <c r="E644" s="379"/>
    </row>
    <row r="645" spans="4:5" s="374" customFormat="1" x14ac:dyDescent="0.2">
      <c r="D645" s="379"/>
      <c r="E645" s="379"/>
    </row>
    <row r="646" spans="4:5" s="374" customFormat="1" x14ac:dyDescent="0.2">
      <c r="D646" s="379"/>
      <c r="E646" s="379"/>
    </row>
    <row r="647" spans="4:5" s="374" customFormat="1" x14ac:dyDescent="0.2">
      <c r="D647" s="379"/>
      <c r="E647" s="379"/>
    </row>
    <row r="648" spans="4:5" s="374" customFormat="1" x14ac:dyDescent="0.2">
      <c r="D648" s="379"/>
      <c r="E648" s="379"/>
    </row>
    <row r="649" spans="4:5" s="374" customFormat="1" x14ac:dyDescent="0.2">
      <c r="D649" s="379"/>
      <c r="E649" s="379"/>
    </row>
    <row r="650" spans="4:5" s="374" customFormat="1" x14ac:dyDescent="0.2">
      <c r="D650" s="379"/>
      <c r="E650" s="379"/>
    </row>
    <row r="651" spans="4:5" s="374" customFormat="1" x14ac:dyDescent="0.2">
      <c r="D651" s="379"/>
      <c r="E651" s="379"/>
    </row>
    <row r="652" spans="4:5" s="374" customFormat="1" x14ac:dyDescent="0.2">
      <c r="D652" s="379"/>
      <c r="E652" s="379"/>
    </row>
    <row r="653" spans="4:5" s="374" customFormat="1" x14ac:dyDescent="0.2">
      <c r="D653" s="379"/>
      <c r="E653" s="379"/>
    </row>
    <row r="654" spans="4:5" s="374" customFormat="1" x14ac:dyDescent="0.2">
      <c r="D654" s="379"/>
      <c r="E654" s="379"/>
    </row>
    <row r="655" spans="4:5" s="374" customFormat="1" x14ac:dyDescent="0.2">
      <c r="D655" s="379"/>
      <c r="E655" s="379"/>
    </row>
    <row r="656" spans="4:5" s="374" customFormat="1" x14ac:dyDescent="0.2">
      <c r="D656" s="379"/>
      <c r="E656" s="379"/>
    </row>
    <row r="657" spans="4:5" s="374" customFormat="1" x14ac:dyDescent="0.2">
      <c r="D657" s="379"/>
      <c r="E657" s="379"/>
    </row>
    <row r="658" spans="4:5" s="374" customFormat="1" x14ac:dyDescent="0.2">
      <c r="D658" s="379"/>
      <c r="E658" s="379"/>
    </row>
    <row r="659" spans="4:5" s="374" customFormat="1" x14ac:dyDescent="0.2">
      <c r="D659" s="379"/>
      <c r="E659" s="379"/>
    </row>
    <row r="660" spans="4:5" s="374" customFormat="1" x14ac:dyDescent="0.2">
      <c r="D660" s="379"/>
      <c r="E660" s="379"/>
    </row>
    <row r="661" spans="4:5" s="374" customFormat="1" x14ac:dyDescent="0.2">
      <c r="D661" s="379"/>
      <c r="E661" s="379"/>
    </row>
    <row r="662" spans="4:5" s="374" customFormat="1" x14ac:dyDescent="0.2">
      <c r="D662" s="379"/>
      <c r="E662" s="379"/>
    </row>
    <row r="663" spans="4:5" s="374" customFormat="1" x14ac:dyDescent="0.2">
      <c r="D663" s="379"/>
      <c r="E663" s="379"/>
    </row>
    <row r="664" spans="4:5" s="374" customFormat="1" x14ac:dyDescent="0.2">
      <c r="D664" s="379"/>
      <c r="E664" s="379"/>
    </row>
    <row r="665" spans="4:5" s="374" customFormat="1" x14ac:dyDescent="0.2">
      <c r="D665" s="379"/>
      <c r="E665" s="379"/>
    </row>
    <row r="666" spans="4:5" s="374" customFormat="1" x14ac:dyDescent="0.2">
      <c r="D666" s="379"/>
      <c r="E666" s="379"/>
    </row>
    <row r="667" spans="4:5" s="374" customFormat="1" x14ac:dyDescent="0.2">
      <c r="D667" s="379"/>
      <c r="E667" s="379"/>
    </row>
    <row r="668" spans="4:5" s="374" customFormat="1" x14ac:dyDescent="0.2">
      <c r="D668" s="379"/>
      <c r="E668" s="379"/>
    </row>
    <row r="669" spans="4:5" s="374" customFormat="1" x14ac:dyDescent="0.2">
      <c r="D669" s="379"/>
      <c r="E669" s="379"/>
    </row>
    <row r="670" spans="4:5" s="374" customFormat="1" x14ac:dyDescent="0.2">
      <c r="D670" s="379"/>
      <c r="E670" s="379"/>
    </row>
    <row r="671" spans="4:5" s="374" customFormat="1" x14ac:dyDescent="0.2">
      <c r="D671" s="379"/>
      <c r="E671" s="379"/>
    </row>
    <row r="672" spans="4:5" s="374" customFormat="1" x14ac:dyDescent="0.2">
      <c r="D672" s="379"/>
      <c r="E672" s="379"/>
    </row>
    <row r="673" spans="4:5" s="374" customFormat="1" x14ac:dyDescent="0.2">
      <c r="D673" s="379"/>
      <c r="E673" s="379"/>
    </row>
    <row r="674" spans="4:5" s="374" customFormat="1" x14ac:dyDescent="0.2">
      <c r="D674" s="379"/>
      <c r="E674" s="379"/>
    </row>
    <row r="675" spans="4:5" s="374" customFormat="1" x14ac:dyDescent="0.2">
      <c r="D675" s="379"/>
      <c r="E675" s="379"/>
    </row>
    <row r="676" spans="4:5" s="374" customFormat="1" x14ac:dyDescent="0.2">
      <c r="D676" s="379"/>
      <c r="E676" s="379"/>
    </row>
    <row r="677" spans="4:5" s="374" customFormat="1" x14ac:dyDescent="0.2">
      <c r="D677" s="379"/>
      <c r="E677" s="379"/>
    </row>
    <row r="678" spans="4:5" s="374" customFormat="1" x14ac:dyDescent="0.2">
      <c r="D678" s="379"/>
      <c r="E678" s="379"/>
    </row>
    <row r="679" spans="4:5" s="374" customFormat="1" x14ac:dyDescent="0.2">
      <c r="D679" s="379"/>
      <c r="E679" s="379"/>
    </row>
    <row r="680" spans="4:5" s="374" customFormat="1" x14ac:dyDescent="0.2">
      <c r="D680" s="379"/>
      <c r="E680" s="379"/>
    </row>
    <row r="681" spans="4:5" s="374" customFormat="1" x14ac:dyDescent="0.2">
      <c r="D681" s="379"/>
      <c r="E681" s="379"/>
    </row>
    <row r="682" spans="4:5" s="374" customFormat="1" x14ac:dyDescent="0.2">
      <c r="D682" s="379"/>
      <c r="E682" s="379"/>
    </row>
    <row r="683" spans="4:5" s="374" customFormat="1" x14ac:dyDescent="0.2">
      <c r="D683" s="379"/>
      <c r="E683" s="379"/>
    </row>
    <row r="684" spans="4:5" s="374" customFormat="1" x14ac:dyDescent="0.2">
      <c r="D684" s="379"/>
      <c r="E684" s="379"/>
    </row>
    <row r="685" spans="4:5" s="374" customFormat="1" x14ac:dyDescent="0.2">
      <c r="D685" s="379"/>
      <c r="E685" s="379"/>
    </row>
    <row r="686" spans="4:5" s="374" customFormat="1" x14ac:dyDescent="0.2">
      <c r="D686" s="379"/>
      <c r="E686" s="379"/>
    </row>
    <row r="687" spans="4:5" s="374" customFormat="1" x14ac:dyDescent="0.2">
      <c r="D687" s="379"/>
      <c r="E687" s="379"/>
    </row>
    <row r="688" spans="4:5" s="374" customFormat="1" x14ac:dyDescent="0.2">
      <c r="D688" s="379"/>
      <c r="E688" s="379"/>
    </row>
    <row r="689" spans="4:5" s="374" customFormat="1" x14ac:dyDescent="0.2">
      <c r="D689" s="379"/>
      <c r="E689" s="379"/>
    </row>
    <row r="690" spans="4:5" s="374" customFormat="1" x14ac:dyDescent="0.2">
      <c r="D690" s="379"/>
      <c r="E690" s="379"/>
    </row>
    <row r="691" spans="4:5" s="374" customFormat="1" x14ac:dyDescent="0.2">
      <c r="D691" s="379"/>
      <c r="E691" s="379"/>
    </row>
    <row r="692" spans="4:5" s="374" customFormat="1" x14ac:dyDescent="0.2">
      <c r="D692" s="379"/>
      <c r="E692" s="379"/>
    </row>
    <row r="693" spans="4:5" s="374" customFormat="1" x14ac:dyDescent="0.2">
      <c r="D693" s="379"/>
      <c r="E693" s="379"/>
    </row>
    <row r="694" spans="4:5" s="374" customFormat="1" x14ac:dyDescent="0.2">
      <c r="D694" s="379"/>
      <c r="E694" s="379"/>
    </row>
    <row r="695" spans="4:5" s="374" customFormat="1" x14ac:dyDescent="0.2">
      <c r="D695" s="379"/>
      <c r="E695" s="379"/>
    </row>
    <row r="696" spans="4:5" s="374" customFormat="1" x14ac:dyDescent="0.2">
      <c r="D696" s="379"/>
      <c r="E696" s="379"/>
    </row>
    <row r="697" spans="4:5" s="374" customFormat="1" x14ac:dyDescent="0.2">
      <c r="D697" s="379"/>
      <c r="E697" s="379"/>
    </row>
    <row r="698" spans="4:5" s="374" customFormat="1" x14ac:dyDescent="0.2">
      <c r="D698" s="379"/>
      <c r="E698" s="379"/>
    </row>
    <row r="699" spans="4:5" s="374" customFormat="1" x14ac:dyDescent="0.2">
      <c r="D699" s="379"/>
      <c r="E699" s="379"/>
    </row>
    <row r="700" spans="4:5" s="374" customFormat="1" x14ac:dyDescent="0.2">
      <c r="D700" s="379"/>
      <c r="E700" s="379"/>
    </row>
    <row r="701" spans="4:5" s="374" customFormat="1" x14ac:dyDescent="0.2">
      <c r="D701" s="379"/>
      <c r="E701" s="379"/>
    </row>
    <row r="702" spans="4:5" s="374" customFormat="1" x14ac:dyDescent="0.2">
      <c r="D702" s="379"/>
      <c r="E702" s="379"/>
    </row>
    <row r="703" spans="4:5" s="374" customFormat="1" x14ac:dyDescent="0.2">
      <c r="D703" s="379"/>
      <c r="E703" s="379"/>
    </row>
    <row r="704" spans="4:5" s="374" customFormat="1" x14ac:dyDescent="0.2">
      <c r="D704" s="379"/>
      <c r="E704" s="379"/>
    </row>
    <row r="705" spans="4:5" s="374" customFormat="1" x14ac:dyDescent="0.2">
      <c r="D705" s="379"/>
      <c r="E705" s="379"/>
    </row>
    <row r="706" spans="4:5" s="374" customFormat="1" x14ac:dyDescent="0.2">
      <c r="D706" s="379"/>
      <c r="E706" s="379"/>
    </row>
    <row r="707" spans="4:5" s="374" customFormat="1" x14ac:dyDescent="0.2">
      <c r="D707" s="379"/>
      <c r="E707" s="379"/>
    </row>
    <row r="708" spans="4:5" s="374" customFormat="1" x14ac:dyDescent="0.2">
      <c r="D708" s="379"/>
      <c r="E708" s="379"/>
    </row>
    <row r="709" spans="4:5" s="374" customFormat="1" x14ac:dyDescent="0.2">
      <c r="D709" s="379"/>
      <c r="E709" s="379"/>
    </row>
    <row r="710" spans="4:5" s="374" customFormat="1" x14ac:dyDescent="0.2">
      <c r="D710" s="379"/>
      <c r="E710" s="379"/>
    </row>
    <row r="711" spans="4:5" s="374" customFormat="1" x14ac:dyDescent="0.2">
      <c r="D711" s="379"/>
      <c r="E711" s="379"/>
    </row>
    <row r="712" spans="4:5" s="374" customFormat="1" x14ac:dyDescent="0.2">
      <c r="D712" s="379"/>
      <c r="E712" s="379"/>
    </row>
    <row r="713" spans="4:5" s="374" customFormat="1" x14ac:dyDescent="0.2">
      <c r="D713" s="379"/>
      <c r="E713" s="379"/>
    </row>
    <row r="714" spans="4:5" s="374" customFormat="1" x14ac:dyDescent="0.2">
      <c r="D714" s="379"/>
      <c r="E714" s="379"/>
    </row>
    <row r="715" spans="4:5" s="374" customFormat="1" x14ac:dyDescent="0.2">
      <c r="D715" s="379"/>
      <c r="E715" s="379"/>
    </row>
    <row r="716" spans="4:5" s="374" customFormat="1" x14ac:dyDescent="0.2">
      <c r="D716" s="379"/>
      <c r="E716" s="379"/>
    </row>
    <row r="717" spans="4:5" s="374" customFormat="1" x14ac:dyDescent="0.2">
      <c r="D717" s="379"/>
      <c r="E717" s="379"/>
    </row>
    <row r="718" spans="4:5" s="374" customFormat="1" x14ac:dyDescent="0.2">
      <c r="D718" s="379"/>
      <c r="E718" s="379"/>
    </row>
    <row r="719" spans="4:5" s="374" customFormat="1" x14ac:dyDescent="0.2">
      <c r="D719" s="379"/>
      <c r="E719" s="379"/>
    </row>
    <row r="720" spans="4:5" s="374" customFormat="1" x14ac:dyDescent="0.2">
      <c r="D720" s="379"/>
      <c r="E720" s="379"/>
    </row>
    <row r="721" spans="4:5" s="374" customFormat="1" x14ac:dyDescent="0.2">
      <c r="D721" s="379"/>
      <c r="E721" s="379"/>
    </row>
    <row r="722" spans="4:5" s="374" customFormat="1" x14ac:dyDescent="0.2">
      <c r="D722" s="379"/>
      <c r="E722" s="379"/>
    </row>
    <row r="723" spans="4:5" s="374" customFormat="1" x14ac:dyDescent="0.2">
      <c r="D723" s="379"/>
      <c r="E723" s="379"/>
    </row>
    <row r="724" spans="4:5" s="374" customFormat="1" x14ac:dyDescent="0.2">
      <c r="D724" s="379"/>
      <c r="E724" s="379"/>
    </row>
    <row r="725" spans="4:5" s="374" customFormat="1" x14ac:dyDescent="0.2">
      <c r="D725" s="379"/>
      <c r="E725" s="379"/>
    </row>
    <row r="726" spans="4:5" s="374" customFormat="1" x14ac:dyDescent="0.2">
      <c r="D726" s="379"/>
      <c r="E726" s="379"/>
    </row>
    <row r="727" spans="4:5" s="374" customFormat="1" x14ac:dyDescent="0.2">
      <c r="D727" s="379"/>
      <c r="E727" s="379"/>
    </row>
    <row r="728" spans="4:5" s="374" customFormat="1" x14ac:dyDescent="0.2">
      <c r="D728" s="379"/>
      <c r="E728" s="379"/>
    </row>
    <row r="729" spans="4:5" s="374" customFormat="1" x14ac:dyDescent="0.2">
      <c r="D729" s="379"/>
      <c r="E729" s="379"/>
    </row>
    <row r="730" spans="4:5" s="374" customFormat="1" x14ac:dyDescent="0.2">
      <c r="D730" s="379"/>
      <c r="E730" s="379"/>
    </row>
    <row r="731" spans="4:5" s="374" customFormat="1" x14ac:dyDescent="0.2">
      <c r="D731" s="379"/>
      <c r="E731" s="379"/>
    </row>
    <row r="732" spans="4:5" s="374" customFormat="1" x14ac:dyDescent="0.2">
      <c r="D732" s="379"/>
      <c r="E732" s="379"/>
    </row>
    <row r="733" spans="4:5" s="374" customFormat="1" x14ac:dyDescent="0.2">
      <c r="D733" s="379"/>
      <c r="E733" s="379"/>
    </row>
    <row r="734" spans="4:5" s="374" customFormat="1" x14ac:dyDescent="0.2">
      <c r="D734" s="379"/>
      <c r="E734" s="379"/>
    </row>
    <row r="735" spans="4:5" s="374" customFormat="1" x14ac:dyDescent="0.2">
      <c r="D735" s="379"/>
      <c r="E735" s="379"/>
    </row>
    <row r="736" spans="4:5" s="374" customFormat="1" x14ac:dyDescent="0.2">
      <c r="D736" s="379"/>
      <c r="E736" s="379"/>
    </row>
    <row r="737" spans="4:5" s="374" customFormat="1" x14ac:dyDescent="0.2">
      <c r="D737" s="379"/>
      <c r="E737" s="379"/>
    </row>
    <row r="738" spans="4:5" s="374" customFormat="1" x14ac:dyDescent="0.2">
      <c r="D738" s="379"/>
      <c r="E738" s="379"/>
    </row>
    <row r="739" spans="4:5" s="374" customFormat="1" x14ac:dyDescent="0.2">
      <c r="D739" s="379"/>
      <c r="E739" s="379"/>
    </row>
    <row r="740" spans="4:5" s="374" customFormat="1" x14ac:dyDescent="0.2">
      <c r="D740" s="379"/>
      <c r="E740" s="379"/>
    </row>
    <row r="741" spans="4:5" s="374" customFormat="1" x14ac:dyDescent="0.2">
      <c r="D741" s="379"/>
      <c r="E741" s="379"/>
    </row>
    <row r="742" spans="4:5" s="374" customFormat="1" x14ac:dyDescent="0.2">
      <c r="D742" s="379"/>
      <c r="E742" s="379"/>
    </row>
    <row r="743" spans="4:5" s="374" customFormat="1" x14ac:dyDescent="0.2">
      <c r="D743" s="379"/>
      <c r="E743" s="379"/>
    </row>
    <row r="744" spans="4:5" s="374" customFormat="1" x14ac:dyDescent="0.2">
      <c r="D744" s="379"/>
      <c r="E744" s="379"/>
    </row>
    <row r="745" spans="4:5" s="374" customFormat="1" x14ac:dyDescent="0.2">
      <c r="D745" s="379"/>
      <c r="E745" s="379"/>
    </row>
    <row r="746" spans="4:5" s="374" customFormat="1" x14ac:dyDescent="0.2">
      <c r="D746" s="379"/>
      <c r="E746" s="379"/>
    </row>
    <row r="747" spans="4:5" s="374" customFormat="1" x14ac:dyDescent="0.2">
      <c r="D747" s="379"/>
      <c r="E747" s="379"/>
    </row>
    <row r="748" spans="4:5" s="374" customFormat="1" x14ac:dyDescent="0.2">
      <c r="D748" s="379"/>
      <c r="E748" s="379"/>
    </row>
    <row r="749" spans="4:5" s="374" customFormat="1" x14ac:dyDescent="0.2">
      <c r="D749" s="379"/>
      <c r="E749" s="379"/>
    </row>
    <row r="750" spans="4:5" s="374" customFormat="1" x14ac:dyDescent="0.2">
      <c r="D750" s="379"/>
      <c r="E750" s="379"/>
    </row>
    <row r="751" spans="4:5" s="374" customFormat="1" x14ac:dyDescent="0.2">
      <c r="D751" s="379"/>
      <c r="E751" s="379"/>
    </row>
    <row r="752" spans="4:5" s="374" customFormat="1" x14ac:dyDescent="0.2">
      <c r="D752" s="379"/>
      <c r="E752" s="379"/>
    </row>
    <row r="753" spans="4:5" s="374" customFormat="1" x14ac:dyDescent="0.2">
      <c r="D753" s="379"/>
      <c r="E753" s="379"/>
    </row>
    <row r="754" spans="4:5" s="374" customFormat="1" x14ac:dyDescent="0.2">
      <c r="D754" s="379"/>
      <c r="E754" s="379"/>
    </row>
    <row r="755" spans="4:5" s="374" customFormat="1" x14ac:dyDescent="0.2">
      <c r="D755" s="379"/>
      <c r="E755" s="379"/>
    </row>
    <row r="756" spans="4:5" s="374" customFormat="1" x14ac:dyDescent="0.2">
      <c r="D756" s="379"/>
      <c r="E756" s="379"/>
    </row>
    <row r="757" spans="4:5" s="374" customFormat="1" x14ac:dyDescent="0.2">
      <c r="D757" s="379"/>
      <c r="E757" s="379"/>
    </row>
    <row r="758" spans="4:5" s="374" customFormat="1" x14ac:dyDescent="0.2">
      <c r="D758" s="379"/>
      <c r="E758" s="379"/>
    </row>
    <row r="759" spans="4:5" s="374" customFormat="1" x14ac:dyDescent="0.2">
      <c r="D759" s="379"/>
      <c r="E759" s="379"/>
    </row>
    <row r="760" spans="4:5" s="374" customFormat="1" x14ac:dyDescent="0.2">
      <c r="D760" s="379"/>
      <c r="E760" s="379"/>
    </row>
    <row r="761" spans="4:5" s="374" customFormat="1" x14ac:dyDescent="0.2">
      <c r="D761" s="379"/>
      <c r="E761" s="379"/>
    </row>
    <row r="762" spans="4:5" s="374" customFormat="1" x14ac:dyDescent="0.2">
      <c r="D762" s="379"/>
      <c r="E762" s="379"/>
    </row>
    <row r="763" spans="4:5" s="374" customFormat="1" x14ac:dyDescent="0.2">
      <c r="D763" s="379"/>
      <c r="E763" s="379"/>
    </row>
    <row r="764" spans="4:5" s="374" customFormat="1" x14ac:dyDescent="0.2">
      <c r="D764" s="379"/>
      <c r="E764" s="379"/>
    </row>
    <row r="765" spans="4:5" s="374" customFormat="1" x14ac:dyDescent="0.2">
      <c r="D765" s="379"/>
      <c r="E765" s="379"/>
    </row>
    <row r="766" spans="4:5" s="374" customFormat="1" x14ac:dyDescent="0.2">
      <c r="D766" s="379"/>
      <c r="E766" s="379"/>
    </row>
    <row r="767" spans="4:5" s="374" customFormat="1" x14ac:dyDescent="0.2">
      <c r="D767" s="379"/>
      <c r="E767" s="379"/>
    </row>
    <row r="768" spans="4:5" s="374" customFormat="1" x14ac:dyDescent="0.2">
      <c r="D768" s="379"/>
      <c r="E768" s="379"/>
    </row>
    <row r="769" spans="4:5" s="374" customFormat="1" x14ac:dyDescent="0.2">
      <c r="D769" s="379"/>
      <c r="E769" s="379"/>
    </row>
    <row r="770" spans="4:5" s="374" customFormat="1" x14ac:dyDescent="0.2">
      <c r="D770" s="379"/>
      <c r="E770" s="379"/>
    </row>
    <row r="771" spans="4:5" s="374" customFormat="1" x14ac:dyDescent="0.2">
      <c r="D771" s="379"/>
      <c r="E771" s="379"/>
    </row>
    <row r="772" spans="4:5" s="374" customFormat="1" x14ac:dyDescent="0.2">
      <c r="D772" s="379"/>
      <c r="E772" s="379"/>
    </row>
    <row r="773" spans="4:5" s="374" customFormat="1" x14ac:dyDescent="0.2">
      <c r="D773" s="379"/>
      <c r="E773" s="379"/>
    </row>
    <row r="774" spans="4:5" s="374" customFormat="1" x14ac:dyDescent="0.2">
      <c r="D774" s="379"/>
      <c r="E774" s="379"/>
    </row>
    <row r="775" spans="4:5" s="374" customFormat="1" x14ac:dyDescent="0.2">
      <c r="D775" s="379"/>
      <c r="E775" s="379"/>
    </row>
    <row r="776" spans="4:5" s="374" customFormat="1" x14ac:dyDescent="0.2">
      <c r="D776" s="379"/>
      <c r="E776" s="379"/>
    </row>
    <row r="777" spans="4:5" s="374" customFormat="1" x14ac:dyDescent="0.2">
      <c r="D777" s="379"/>
      <c r="E777" s="379"/>
    </row>
    <row r="778" spans="4:5" s="374" customFormat="1" x14ac:dyDescent="0.2">
      <c r="D778" s="379"/>
      <c r="E778" s="379"/>
    </row>
    <row r="779" spans="4:5" s="374" customFormat="1" x14ac:dyDescent="0.2">
      <c r="D779" s="379"/>
      <c r="E779" s="379"/>
    </row>
    <row r="780" spans="4:5" s="374" customFormat="1" x14ac:dyDescent="0.2">
      <c r="D780" s="379"/>
      <c r="E780" s="379"/>
    </row>
    <row r="781" spans="4:5" s="374" customFormat="1" x14ac:dyDescent="0.2">
      <c r="D781" s="379"/>
      <c r="E781" s="379"/>
    </row>
    <row r="782" spans="4:5" s="374" customFormat="1" x14ac:dyDescent="0.2">
      <c r="D782" s="379"/>
      <c r="E782" s="379"/>
    </row>
    <row r="783" spans="4:5" s="374" customFormat="1" x14ac:dyDescent="0.2">
      <c r="D783" s="379"/>
      <c r="E783" s="379"/>
    </row>
    <row r="784" spans="4:5" s="374" customFormat="1" x14ac:dyDescent="0.2">
      <c r="D784" s="379"/>
      <c r="E784" s="379"/>
    </row>
    <row r="785" spans="4:5" s="374" customFormat="1" x14ac:dyDescent="0.2">
      <c r="D785" s="379"/>
      <c r="E785" s="379"/>
    </row>
    <row r="786" spans="4:5" s="374" customFormat="1" x14ac:dyDescent="0.2">
      <c r="D786" s="379"/>
      <c r="E786" s="379"/>
    </row>
    <row r="787" spans="4:5" s="374" customFormat="1" x14ac:dyDescent="0.2">
      <c r="D787" s="379"/>
      <c r="E787" s="379"/>
    </row>
    <row r="788" spans="4:5" s="374" customFormat="1" x14ac:dyDescent="0.2">
      <c r="D788" s="379"/>
      <c r="E788" s="379"/>
    </row>
    <row r="789" spans="4:5" s="374" customFormat="1" x14ac:dyDescent="0.2">
      <c r="D789" s="379"/>
      <c r="E789" s="379"/>
    </row>
    <row r="790" spans="4:5" s="374" customFormat="1" x14ac:dyDescent="0.2">
      <c r="D790" s="379"/>
      <c r="E790" s="379"/>
    </row>
    <row r="791" spans="4:5" s="374" customFormat="1" x14ac:dyDescent="0.2">
      <c r="D791" s="379"/>
      <c r="E791" s="379"/>
    </row>
    <row r="792" spans="4:5" s="374" customFormat="1" x14ac:dyDescent="0.2">
      <c r="D792" s="379"/>
      <c r="E792" s="379"/>
    </row>
    <row r="793" spans="4:5" s="374" customFormat="1" x14ac:dyDescent="0.2">
      <c r="D793" s="379"/>
      <c r="E793" s="379"/>
    </row>
    <row r="794" spans="4:5" s="374" customFormat="1" x14ac:dyDescent="0.2">
      <c r="D794" s="379"/>
      <c r="E794" s="379"/>
    </row>
    <row r="795" spans="4:5" s="374" customFormat="1" x14ac:dyDescent="0.2">
      <c r="D795" s="379"/>
      <c r="E795" s="379"/>
    </row>
    <row r="796" spans="4:5" s="374" customFormat="1" x14ac:dyDescent="0.2">
      <c r="D796" s="379"/>
      <c r="E796" s="379"/>
    </row>
    <row r="797" spans="4:5" s="374" customFormat="1" x14ac:dyDescent="0.2">
      <c r="D797" s="379"/>
      <c r="E797" s="379"/>
    </row>
    <row r="798" spans="4:5" s="374" customFormat="1" x14ac:dyDescent="0.2">
      <c r="D798" s="379"/>
      <c r="E798" s="379"/>
    </row>
    <row r="799" spans="4:5" s="374" customFormat="1" x14ac:dyDescent="0.2">
      <c r="D799" s="379"/>
      <c r="E799" s="379"/>
    </row>
    <row r="800" spans="4:5" s="374" customFormat="1" x14ac:dyDescent="0.2">
      <c r="D800" s="379"/>
      <c r="E800" s="379"/>
    </row>
    <row r="801" spans="4:5" s="374" customFormat="1" x14ac:dyDescent="0.2">
      <c r="D801" s="379"/>
      <c r="E801" s="379"/>
    </row>
    <row r="802" spans="4:5" s="374" customFormat="1" x14ac:dyDescent="0.2">
      <c r="D802" s="379"/>
      <c r="E802" s="379"/>
    </row>
    <row r="803" spans="4:5" s="374" customFormat="1" x14ac:dyDescent="0.2">
      <c r="D803" s="379"/>
      <c r="E803" s="379"/>
    </row>
    <row r="804" spans="4:5" s="374" customFormat="1" x14ac:dyDescent="0.2">
      <c r="D804" s="379"/>
      <c r="E804" s="379"/>
    </row>
    <row r="805" spans="4:5" s="374" customFormat="1" x14ac:dyDescent="0.2">
      <c r="D805" s="379"/>
      <c r="E805" s="379"/>
    </row>
    <row r="806" spans="4:5" s="374" customFormat="1" x14ac:dyDescent="0.2">
      <c r="D806" s="379"/>
      <c r="E806" s="379"/>
    </row>
    <row r="807" spans="4:5" s="374" customFormat="1" x14ac:dyDescent="0.2">
      <c r="D807" s="379"/>
      <c r="E807" s="379"/>
    </row>
    <row r="808" spans="4:5" s="374" customFormat="1" x14ac:dyDescent="0.2">
      <c r="D808" s="379"/>
      <c r="E808" s="379"/>
    </row>
    <row r="809" spans="4:5" s="374" customFormat="1" x14ac:dyDescent="0.2">
      <c r="D809" s="379"/>
      <c r="E809" s="379"/>
    </row>
    <row r="810" spans="4:5" s="374" customFormat="1" x14ac:dyDescent="0.2">
      <c r="D810" s="379"/>
      <c r="E810" s="379"/>
    </row>
    <row r="811" spans="4:5" s="374" customFormat="1" x14ac:dyDescent="0.2">
      <c r="D811" s="379"/>
      <c r="E811" s="379"/>
    </row>
    <row r="812" spans="4:5" s="374" customFormat="1" x14ac:dyDescent="0.2">
      <c r="D812" s="379"/>
      <c r="E812" s="379"/>
    </row>
    <row r="813" spans="4:5" s="374" customFormat="1" x14ac:dyDescent="0.2">
      <c r="D813" s="379"/>
      <c r="E813" s="379"/>
    </row>
    <row r="814" spans="4:5" s="374" customFormat="1" x14ac:dyDescent="0.2">
      <c r="D814" s="379"/>
      <c r="E814" s="379"/>
    </row>
    <row r="815" spans="4:5" s="374" customFormat="1" x14ac:dyDescent="0.2">
      <c r="D815" s="379"/>
      <c r="E815" s="379"/>
    </row>
    <row r="816" spans="4:5" s="374" customFormat="1" x14ac:dyDescent="0.2">
      <c r="D816" s="379"/>
      <c r="E816" s="379"/>
    </row>
    <row r="817" spans="4:5" s="374" customFormat="1" x14ac:dyDescent="0.2">
      <c r="D817" s="379"/>
      <c r="E817" s="379"/>
    </row>
    <row r="818" spans="4:5" s="374" customFormat="1" x14ac:dyDescent="0.2">
      <c r="D818" s="379"/>
      <c r="E818" s="379"/>
    </row>
    <row r="819" spans="4:5" s="374" customFormat="1" x14ac:dyDescent="0.2">
      <c r="D819" s="379"/>
      <c r="E819" s="379"/>
    </row>
    <row r="820" spans="4:5" s="374" customFormat="1" x14ac:dyDescent="0.2">
      <c r="D820" s="379"/>
      <c r="E820" s="379"/>
    </row>
    <row r="821" spans="4:5" s="374" customFormat="1" x14ac:dyDescent="0.2">
      <c r="D821" s="379"/>
      <c r="E821" s="379"/>
    </row>
    <row r="822" spans="4:5" s="374" customFormat="1" x14ac:dyDescent="0.2">
      <c r="D822" s="379"/>
      <c r="E822" s="379"/>
    </row>
    <row r="823" spans="4:5" s="374" customFormat="1" x14ac:dyDescent="0.2">
      <c r="D823" s="379"/>
      <c r="E823" s="379"/>
    </row>
    <row r="824" spans="4:5" s="374" customFormat="1" x14ac:dyDescent="0.2">
      <c r="D824" s="379"/>
      <c r="E824" s="379"/>
    </row>
    <row r="825" spans="4:5" s="374" customFormat="1" x14ac:dyDescent="0.2">
      <c r="D825" s="379"/>
      <c r="E825" s="379"/>
    </row>
    <row r="826" spans="4:5" s="374" customFormat="1" x14ac:dyDescent="0.2">
      <c r="D826" s="379"/>
      <c r="E826" s="379"/>
    </row>
    <row r="827" spans="4:5" s="374" customFormat="1" x14ac:dyDescent="0.2">
      <c r="D827" s="379"/>
      <c r="E827" s="379"/>
    </row>
    <row r="828" spans="4:5" s="374" customFormat="1" x14ac:dyDescent="0.2">
      <c r="D828" s="379"/>
      <c r="E828" s="379"/>
    </row>
    <row r="829" spans="4:5" s="374" customFormat="1" x14ac:dyDescent="0.2">
      <c r="D829" s="379"/>
      <c r="E829" s="379"/>
    </row>
    <row r="830" spans="4:5" s="374" customFormat="1" x14ac:dyDescent="0.2">
      <c r="D830" s="379"/>
      <c r="E830" s="379"/>
    </row>
    <row r="831" spans="4:5" s="374" customFormat="1" x14ac:dyDescent="0.2">
      <c r="D831" s="379"/>
      <c r="E831" s="379"/>
    </row>
    <row r="832" spans="4:5" s="374" customFormat="1" x14ac:dyDescent="0.2">
      <c r="D832" s="379"/>
      <c r="E832" s="379"/>
    </row>
    <row r="833" spans="4:5" s="374" customFormat="1" x14ac:dyDescent="0.2">
      <c r="D833" s="379"/>
      <c r="E833" s="379"/>
    </row>
    <row r="834" spans="4:5" s="374" customFormat="1" x14ac:dyDescent="0.2">
      <c r="D834" s="379"/>
      <c r="E834" s="379"/>
    </row>
    <row r="835" spans="4:5" s="374" customFormat="1" x14ac:dyDescent="0.2">
      <c r="D835" s="379"/>
      <c r="E835" s="379"/>
    </row>
    <row r="836" spans="4:5" s="374" customFormat="1" x14ac:dyDescent="0.2">
      <c r="D836" s="379"/>
      <c r="E836" s="379"/>
    </row>
    <row r="837" spans="4:5" s="374" customFormat="1" x14ac:dyDescent="0.2">
      <c r="D837" s="379"/>
      <c r="E837" s="379"/>
    </row>
    <row r="838" spans="4:5" s="374" customFormat="1" x14ac:dyDescent="0.2">
      <c r="D838" s="379"/>
      <c r="E838" s="379"/>
    </row>
    <row r="839" spans="4:5" s="374" customFormat="1" x14ac:dyDescent="0.2">
      <c r="D839" s="379"/>
      <c r="E839" s="379"/>
    </row>
    <row r="840" spans="4:5" s="374" customFormat="1" x14ac:dyDescent="0.2">
      <c r="D840" s="379"/>
      <c r="E840" s="379"/>
    </row>
    <row r="841" spans="4:5" s="374" customFormat="1" x14ac:dyDescent="0.2">
      <c r="D841" s="379"/>
      <c r="E841" s="379"/>
    </row>
    <row r="842" spans="4:5" s="374" customFormat="1" x14ac:dyDescent="0.2">
      <c r="D842" s="379"/>
      <c r="E842" s="379"/>
    </row>
    <row r="843" spans="4:5" s="374" customFormat="1" x14ac:dyDescent="0.2">
      <c r="D843" s="379"/>
      <c r="E843" s="379"/>
    </row>
    <row r="844" spans="4:5" s="374" customFormat="1" x14ac:dyDescent="0.2">
      <c r="D844" s="379"/>
      <c r="E844" s="379"/>
    </row>
    <row r="845" spans="4:5" s="374" customFormat="1" x14ac:dyDescent="0.2">
      <c r="D845" s="379"/>
      <c r="E845" s="379"/>
    </row>
    <row r="846" spans="4:5" s="374" customFormat="1" x14ac:dyDescent="0.2">
      <c r="D846" s="379"/>
      <c r="E846" s="379"/>
    </row>
    <row r="847" spans="4:5" s="374" customFormat="1" x14ac:dyDescent="0.2">
      <c r="D847" s="379"/>
      <c r="E847" s="379"/>
    </row>
    <row r="848" spans="4:5" s="374" customFormat="1" x14ac:dyDescent="0.2">
      <c r="D848" s="379"/>
      <c r="E848" s="379"/>
    </row>
    <row r="849" spans="4:5" s="374" customFormat="1" x14ac:dyDescent="0.2">
      <c r="D849" s="379"/>
      <c r="E849" s="379"/>
    </row>
    <row r="850" spans="4:5" s="374" customFormat="1" x14ac:dyDescent="0.2">
      <c r="D850" s="379"/>
      <c r="E850" s="379"/>
    </row>
    <row r="851" spans="4:5" s="374" customFormat="1" x14ac:dyDescent="0.2">
      <c r="D851" s="379"/>
      <c r="E851" s="379"/>
    </row>
    <row r="852" spans="4:5" s="374" customFormat="1" x14ac:dyDescent="0.2">
      <c r="D852" s="379"/>
      <c r="E852" s="379"/>
    </row>
    <row r="853" spans="4:5" s="374" customFormat="1" x14ac:dyDescent="0.2">
      <c r="D853" s="379"/>
      <c r="E853" s="379"/>
    </row>
    <row r="854" spans="4:5" s="374" customFormat="1" x14ac:dyDescent="0.2">
      <c r="D854" s="379"/>
      <c r="E854" s="379"/>
    </row>
    <row r="855" spans="4:5" s="374" customFormat="1" x14ac:dyDescent="0.2">
      <c r="D855" s="379"/>
      <c r="E855" s="379"/>
    </row>
    <row r="856" spans="4:5" s="374" customFormat="1" x14ac:dyDescent="0.2">
      <c r="D856" s="379"/>
      <c r="E856" s="379"/>
    </row>
    <row r="857" spans="4:5" s="374" customFormat="1" x14ac:dyDescent="0.2">
      <c r="D857" s="379"/>
      <c r="E857" s="379"/>
    </row>
    <row r="858" spans="4:5" s="374" customFormat="1" x14ac:dyDescent="0.2">
      <c r="D858" s="379"/>
      <c r="E858" s="379"/>
    </row>
    <row r="859" spans="4:5" s="374" customFormat="1" x14ac:dyDescent="0.2">
      <c r="D859" s="379"/>
      <c r="E859" s="379"/>
    </row>
    <row r="860" spans="4:5" s="374" customFormat="1" x14ac:dyDescent="0.2">
      <c r="D860" s="379"/>
      <c r="E860" s="379"/>
    </row>
    <row r="861" spans="4:5" s="374" customFormat="1" x14ac:dyDescent="0.2">
      <c r="D861" s="379"/>
      <c r="E861" s="379"/>
    </row>
    <row r="862" spans="4:5" s="374" customFormat="1" x14ac:dyDescent="0.2">
      <c r="D862" s="379"/>
      <c r="E862" s="379"/>
    </row>
    <row r="863" spans="4:5" s="374" customFormat="1" x14ac:dyDescent="0.2">
      <c r="D863" s="379"/>
      <c r="E863" s="379"/>
    </row>
    <row r="864" spans="4:5" s="374" customFormat="1" x14ac:dyDescent="0.2">
      <c r="D864" s="379"/>
      <c r="E864" s="379"/>
    </row>
    <row r="865" spans="4:5" s="374" customFormat="1" x14ac:dyDescent="0.2">
      <c r="D865" s="379"/>
      <c r="E865" s="379"/>
    </row>
    <row r="866" spans="4:5" s="374" customFormat="1" x14ac:dyDescent="0.2">
      <c r="D866" s="379"/>
      <c r="E866" s="379"/>
    </row>
    <row r="867" spans="4:5" s="374" customFormat="1" x14ac:dyDescent="0.2">
      <c r="D867" s="379"/>
      <c r="E867" s="379"/>
    </row>
    <row r="868" spans="4:5" s="374" customFormat="1" x14ac:dyDescent="0.2">
      <c r="D868" s="379"/>
      <c r="E868" s="379"/>
    </row>
    <row r="869" spans="4:5" s="374" customFormat="1" x14ac:dyDescent="0.2">
      <c r="D869" s="379"/>
      <c r="E869" s="379"/>
    </row>
    <row r="870" spans="4:5" s="374" customFormat="1" x14ac:dyDescent="0.2">
      <c r="D870" s="379"/>
      <c r="E870" s="379"/>
    </row>
    <row r="871" spans="4:5" s="374" customFormat="1" x14ac:dyDescent="0.2">
      <c r="D871" s="379"/>
      <c r="E871" s="379"/>
    </row>
    <row r="872" spans="4:5" s="374" customFormat="1" x14ac:dyDescent="0.2">
      <c r="D872" s="379"/>
      <c r="E872" s="379"/>
    </row>
    <row r="873" spans="4:5" s="374" customFormat="1" x14ac:dyDescent="0.2">
      <c r="D873" s="379"/>
      <c r="E873" s="379"/>
    </row>
    <row r="874" spans="4:5" s="374" customFormat="1" x14ac:dyDescent="0.2">
      <c r="D874" s="379"/>
      <c r="E874" s="379"/>
    </row>
    <row r="875" spans="4:5" s="374" customFormat="1" x14ac:dyDescent="0.2">
      <c r="D875" s="379"/>
      <c r="E875" s="379"/>
    </row>
    <row r="876" spans="4:5" s="374" customFormat="1" x14ac:dyDescent="0.2">
      <c r="D876" s="379"/>
      <c r="E876" s="379"/>
    </row>
    <row r="877" spans="4:5" s="374" customFormat="1" x14ac:dyDescent="0.2">
      <c r="D877" s="379"/>
      <c r="E877" s="379"/>
    </row>
    <row r="878" spans="4:5" s="374" customFormat="1" x14ac:dyDescent="0.2">
      <c r="D878" s="379"/>
      <c r="E878" s="379"/>
    </row>
    <row r="879" spans="4:5" s="374" customFormat="1" x14ac:dyDescent="0.2">
      <c r="D879" s="379"/>
      <c r="E879" s="379"/>
    </row>
    <row r="880" spans="4:5" s="374" customFormat="1" x14ac:dyDescent="0.2">
      <c r="D880" s="379"/>
      <c r="E880" s="379"/>
    </row>
    <row r="881" spans="4:5" s="374" customFormat="1" x14ac:dyDescent="0.2">
      <c r="D881" s="379"/>
      <c r="E881" s="379"/>
    </row>
    <row r="882" spans="4:5" s="374" customFormat="1" x14ac:dyDescent="0.2">
      <c r="D882" s="379"/>
      <c r="E882" s="379"/>
    </row>
    <row r="883" spans="4:5" s="374" customFormat="1" x14ac:dyDescent="0.2">
      <c r="D883" s="379"/>
      <c r="E883" s="379"/>
    </row>
    <row r="884" spans="4:5" s="374" customFormat="1" x14ac:dyDescent="0.2">
      <c r="D884" s="379"/>
      <c r="E884" s="379"/>
    </row>
    <row r="885" spans="4:5" s="374" customFormat="1" x14ac:dyDescent="0.2">
      <c r="D885" s="379"/>
      <c r="E885" s="379"/>
    </row>
    <row r="886" spans="4:5" s="374" customFormat="1" x14ac:dyDescent="0.2">
      <c r="D886" s="379"/>
      <c r="E886" s="379"/>
    </row>
    <row r="887" spans="4:5" s="374" customFormat="1" x14ac:dyDescent="0.2">
      <c r="D887" s="379"/>
      <c r="E887" s="379"/>
    </row>
    <row r="888" spans="4:5" s="374" customFormat="1" x14ac:dyDescent="0.2">
      <c r="D888" s="379"/>
      <c r="E888" s="379"/>
    </row>
    <row r="889" spans="4:5" s="374" customFormat="1" x14ac:dyDescent="0.2">
      <c r="D889" s="379"/>
      <c r="E889" s="379"/>
    </row>
    <row r="890" spans="4:5" s="374" customFormat="1" x14ac:dyDescent="0.2">
      <c r="D890" s="379"/>
      <c r="E890" s="379"/>
    </row>
    <row r="891" spans="4:5" s="374" customFormat="1" x14ac:dyDescent="0.2">
      <c r="D891" s="379"/>
      <c r="E891" s="379"/>
    </row>
    <row r="892" spans="4:5" s="374" customFormat="1" x14ac:dyDescent="0.2">
      <c r="D892" s="379"/>
      <c r="E892" s="379"/>
    </row>
    <row r="893" spans="4:5" s="374" customFormat="1" x14ac:dyDescent="0.2">
      <c r="D893" s="379"/>
      <c r="E893" s="379"/>
    </row>
    <row r="894" spans="4:5" s="374" customFormat="1" x14ac:dyDescent="0.2">
      <c r="D894" s="379"/>
      <c r="E894" s="379"/>
    </row>
    <row r="895" spans="4:5" s="374" customFormat="1" x14ac:dyDescent="0.2">
      <c r="D895" s="379"/>
      <c r="E895" s="379"/>
    </row>
    <row r="896" spans="4:5" s="374" customFormat="1" x14ac:dyDescent="0.2">
      <c r="D896" s="379"/>
      <c r="E896" s="379"/>
    </row>
    <row r="897" spans="4:5" s="374" customFormat="1" x14ac:dyDescent="0.2">
      <c r="D897" s="379"/>
      <c r="E897" s="379"/>
    </row>
    <row r="898" spans="4:5" s="374" customFormat="1" x14ac:dyDescent="0.2">
      <c r="D898" s="379"/>
      <c r="E898" s="379"/>
    </row>
    <row r="899" spans="4:5" s="374" customFormat="1" x14ac:dyDescent="0.2">
      <c r="D899" s="379"/>
      <c r="E899" s="379"/>
    </row>
    <row r="900" spans="4:5" s="374" customFormat="1" x14ac:dyDescent="0.2">
      <c r="D900" s="379"/>
      <c r="E900" s="379"/>
    </row>
    <row r="901" spans="4:5" s="374" customFormat="1" x14ac:dyDescent="0.2">
      <c r="D901" s="379"/>
      <c r="E901" s="379"/>
    </row>
    <row r="902" spans="4:5" s="374" customFormat="1" x14ac:dyDescent="0.2">
      <c r="D902" s="379"/>
      <c r="E902" s="379"/>
    </row>
    <row r="903" spans="4:5" s="374" customFormat="1" x14ac:dyDescent="0.2">
      <c r="D903" s="379"/>
      <c r="E903" s="379"/>
    </row>
    <row r="904" spans="4:5" s="374" customFormat="1" x14ac:dyDescent="0.2">
      <c r="D904" s="379"/>
      <c r="E904" s="379"/>
    </row>
    <row r="905" spans="4:5" s="374" customFormat="1" x14ac:dyDescent="0.2">
      <c r="D905" s="379"/>
      <c r="E905" s="379"/>
    </row>
    <row r="906" spans="4:5" s="374" customFormat="1" x14ac:dyDescent="0.2">
      <c r="D906" s="379"/>
      <c r="E906" s="379"/>
    </row>
    <row r="907" spans="4:5" s="374" customFormat="1" x14ac:dyDescent="0.2">
      <c r="D907" s="379"/>
      <c r="E907" s="379"/>
    </row>
    <row r="908" spans="4:5" s="374" customFormat="1" x14ac:dyDescent="0.2">
      <c r="D908" s="379"/>
      <c r="E908" s="379"/>
    </row>
    <row r="909" spans="4:5" s="374" customFormat="1" x14ac:dyDescent="0.2">
      <c r="D909" s="379"/>
      <c r="E909" s="379"/>
    </row>
    <row r="910" spans="4:5" s="374" customFormat="1" x14ac:dyDescent="0.2">
      <c r="D910" s="379"/>
      <c r="E910" s="379"/>
    </row>
    <row r="911" spans="4:5" s="374" customFormat="1" x14ac:dyDescent="0.2">
      <c r="D911" s="379"/>
      <c r="E911" s="379"/>
    </row>
    <row r="912" spans="4:5" s="374" customFormat="1" x14ac:dyDescent="0.2">
      <c r="D912" s="379"/>
      <c r="E912" s="379"/>
    </row>
    <row r="913" spans="4:5" s="374" customFormat="1" x14ac:dyDescent="0.2">
      <c r="D913" s="379"/>
      <c r="E913" s="379"/>
    </row>
    <row r="914" spans="4:5" s="374" customFormat="1" x14ac:dyDescent="0.2">
      <c r="D914" s="379"/>
      <c r="E914" s="379"/>
    </row>
    <row r="915" spans="4:5" s="374" customFormat="1" x14ac:dyDescent="0.2">
      <c r="D915" s="379"/>
      <c r="E915" s="379"/>
    </row>
    <row r="916" spans="4:5" s="374" customFormat="1" x14ac:dyDescent="0.2">
      <c r="D916" s="379"/>
      <c r="E916" s="379"/>
    </row>
    <row r="917" spans="4:5" s="374" customFormat="1" x14ac:dyDescent="0.2">
      <c r="D917" s="379"/>
      <c r="E917" s="379"/>
    </row>
    <row r="918" spans="4:5" s="374" customFormat="1" x14ac:dyDescent="0.2">
      <c r="D918" s="379"/>
      <c r="E918" s="379"/>
    </row>
    <row r="919" spans="4:5" s="374" customFormat="1" x14ac:dyDescent="0.2">
      <c r="D919" s="379"/>
      <c r="E919" s="379"/>
    </row>
    <row r="920" spans="4:5" s="374" customFormat="1" x14ac:dyDescent="0.2">
      <c r="D920" s="379"/>
      <c r="E920" s="379"/>
    </row>
    <row r="921" spans="4:5" s="374" customFormat="1" x14ac:dyDescent="0.2">
      <c r="D921" s="379"/>
      <c r="E921" s="379"/>
    </row>
    <row r="922" spans="4:5" s="374" customFormat="1" x14ac:dyDescent="0.2">
      <c r="D922" s="379"/>
      <c r="E922" s="379"/>
    </row>
    <row r="923" spans="4:5" s="374" customFormat="1" x14ac:dyDescent="0.2">
      <c r="D923" s="379"/>
      <c r="E923" s="379"/>
    </row>
    <row r="924" spans="4:5" s="374" customFormat="1" x14ac:dyDescent="0.2">
      <c r="D924" s="379"/>
      <c r="E924" s="379"/>
    </row>
    <row r="925" spans="4:5" s="374" customFormat="1" x14ac:dyDescent="0.2">
      <c r="D925" s="379"/>
      <c r="E925" s="379"/>
    </row>
    <row r="926" spans="4:5" s="374" customFormat="1" x14ac:dyDescent="0.2">
      <c r="D926" s="379"/>
      <c r="E926" s="379"/>
    </row>
    <row r="927" spans="4:5" s="374" customFormat="1" x14ac:dyDescent="0.2">
      <c r="D927" s="379"/>
      <c r="E927" s="379"/>
    </row>
    <row r="928" spans="4:5" s="374" customFormat="1" x14ac:dyDescent="0.2">
      <c r="D928" s="379"/>
      <c r="E928" s="379"/>
    </row>
    <row r="929" spans="4:5" s="374" customFormat="1" x14ac:dyDescent="0.2">
      <c r="D929" s="379"/>
      <c r="E929" s="379"/>
    </row>
    <row r="930" spans="4:5" s="374" customFormat="1" x14ac:dyDescent="0.2">
      <c r="D930" s="379"/>
      <c r="E930" s="379"/>
    </row>
    <row r="931" spans="4:5" s="374" customFormat="1" x14ac:dyDescent="0.2">
      <c r="D931" s="379"/>
      <c r="E931" s="379"/>
    </row>
    <row r="932" spans="4:5" s="374" customFormat="1" x14ac:dyDescent="0.2">
      <c r="D932" s="379"/>
      <c r="E932" s="379"/>
    </row>
    <row r="933" spans="4:5" s="374" customFormat="1" x14ac:dyDescent="0.2">
      <c r="D933" s="379"/>
      <c r="E933" s="379"/>
    </row>
    <row r="934" spans="4:5" s="374" customFormat="1" x14ac:dyDescent="0.2">
      <c r="D934" s="379"/>
      <c r="E934" s="379"/>
    </row>
    <row r="935" spans="4:5" s="374" customFormat="1" x14ac:dyDescent="0.2">
      <c r="D935" s="379"/>
      <c r="E935" s="379"/>
    </row>
    <row r="936" spans="4:5" s="374" customFormat="1" x14ac:dyDescent="0.2">
      <c r="D936" s="379"/>
      <c r="E936" s="379"/>
    </row>
    <row r="937" spans="4:5" s="374" customFormat="1" x14ac:dyDescent="0.2">
      <c r="D937" s="379"/>
      <c r="E937" s="379"/>
    </row>
    <row r="938" spans="4:5" s="374" customFormat="1" x14ac:dyDescent="0.2">
      <c r="D938" s="379"/>
      <c r="E938" s="379"/>
    </row>
    <row r="939" spans="4:5" s="374" customFormat="1" x14ac:dyDescent="0.2">
      <c r="D939" s="379"/>
      <c r="E939" s="379"/>
    </row>
    <row r="940" spans="4:5" s="374" customFormat="1" x14ac:dyDescent="0.2">
      <c r="D940" s="379"/>
      <c r="E940" s="379"/>
    </row>
    <row r="941" spans="4:5" s="374" customFormat="1" x14ac:dyDescent="0.2">
      <c r="D941" s="379"/>
      <c r="E941" s="379"/>
    </row>
    <row r="942" spans="4:5" s="374" customFormat="1" x14ac:dyDescent="0.2">
      <c r="D942" s="379"/>
      <c r="E942" s="379"/>
    </row>
    <row r="943" spans="4:5" s="374" customFormat="1" x14ac:dyDescent="0.2">
      <c r="D943" s="379"/>
      <c r="E943" s="379"/>
    </row>
    <row r="944" spans="4:5" s="374" customFormat="1" x14ac:dyDescent="0.2">
      <c r="D944" s="379"/>
      <c r="E944" s="379"/>
    </row>
    <row r="945" spans="4:5" s="374" customFormat="1" x14ac:dyDescent="0.2">
      <c r="D945" s="379"/>
      <c r="E945" s="379"/>
    </row>
    <row r="946" spans="4:5" s="374" customFormat="1" x14ac:dyDescent="0.2">
      <c r="D946" s="379"/>
      <c r="E946" s="379"/>
    </row>
    <row r="947" spans="4:5" s="374" customFormat="1" x14ac:dyDescent="0.2">
      <c r="D947" s="379"/>
      <c r="E947" s="379"/>
    </row>
    <row r="948" spans="4:5" s="374" customFormat="1" x14ac:dyDescent="0.2">
      <c r="D948" s="379"/>
      <c r="E948" s="379"/>
    </row>
    <row r="949" spans="4:5" s="374" customFormat="1" x14ac:dyDescent="0.2">
      <c r="D949" s="379"/>
      <c r="E949" s="379"/>
    </row>
    <row r="950" spans="4:5" s="374" customFormat="1" x14ac:dyDescent="0.2">
      <c r="D950" s="379"/>
      <c r="E950" s="379"/>
    </row>
    <row r="951" spans="4:5" s="374" customFormat="1" x14ac:dyDescent="0.2">
      <c r="D951" s="379"/>
      <c r="E951" s="379"/>
    </row>
    <row r="952" spans="4:5" s="374" customFormat="1" x14ac:dyDescent="0.2">
      <c r="D952" s="379"/>
      <c r="E952" s="379"/>
    </row>
    <row r="953" spans="4:5" s="374" customFormat="1" x14ac:dyDescent="0.2">
      <c r="D953" s="379"/>
      <c r="E953" s="379"/>
    </row>
    <row r="954" spans="4:5" s="374" customFormat="1" x14ac:dyDescent="0.2">
      <c r="D954" s="379"/>
      <c r="E954" s="379"/>
    </row>
    <row r="955" spans="4:5" s="374" customFormat="1" x14ac:dyDescent="0.2">
      <c r="D955" s="379"/>
      <c r="E955" s="379"/>
    </row>
    <row r="956" spans="4:5" s="374" customFormat="1" x14ac:dyDescent="0.2">
      <c r="D956" s="379"/>
      <c r="E956" s="379"/>
    </row>
    <row r="957" spans="4:5" s="374" customFormat="1" x14ac:dyDescent="0.2">
      <c r="D957" s="379"/>
      <c r="E957" s="379"/>
    </row>
    <row r="958" spans="4:5" s="374" customFormat="1" x14ac:dyDescent="0.2">
      <c r="D958" s="379"/>
      <c r="E958" s="379"/>
    </row>
    <row r="959" spans="4:5" s="374" customFormat="1" x14ac:dyDescent="0.2">
      <c r="D959" s="379"/>
      <c r="E959" s="379"/>
    </row>
    <row r="960" spans="4:5" s="374" customFormat="1" x14ac:dyDescent="0.2">
      <c r="D960" s="379"/>
      <c r="E960" s="379"/>
    </row>
    <row r="961" spans="4:5" s="374" customFormat="1" x14ac:dyDescent="0.2">
      <c r="D961" s="379"/>
      <c r="E961" s="379"/>
    </row>
    <row r="962" spans="4:5" s="374" customFormat="1" x14ac:dyDescent="0.2">
      <c r="D962" s="379"/>
      <c r="E962" s="379"/>
    </row>
    <row r="963" spans="4:5" s="374" customFormat="1" x14ac:dyDescent="0.2">
      <c r="D963" s="379"/>
      <c r="E963" s="379"/>
    </row>
    <row r="964" spans="4:5" s="374" customFormat="1" x14ac:dyDescent="0.2">
      <c r="D964" s="379"/>
      <c r="E964" s="379"/>
    </row>
    <row r="965" spans="4:5" s="374" customFormat="1" x14ac:dyDescent="0.2">
      <c r="D965" s="379"/>
      <c r="E965" s="379"/>
    </row>
    <row r="966" spans="4:5" s="374" customFormat="1" x14ac:dyDescent="0.2">
      <c r="D966" s="379"/>
      <c r="E966" s="379"/>
    </row>
    <row r="967" spans="4:5" s="374" customFormat="1" x14ac:dyDescent="0.2">
      <c r="D967" s="379"/>
      <c r="E967" s="379"/>
    </row>
    <row r="968" spans="4:5" s="374" customFormat="1" x14ac:dyDescent="0.2">
      <c r="D968" s="379"/>
      <c r="E968" s="379"/>
    </row>
    <row r="969" spans="4:5" s="374" customFormat="1" x14ac:dyDescent="0.2">
      <c r="D969" s="379"/>
      <c r="E969" s="379"/>
    </row>
    <row r="970" spans="4:5" s="374" customFormat="1" x14ac:dyDescent="0.2">
      <c r="D970" s="379"/>
      <c r="E970" s="379"/>
    </row>
    <row r="971" spans="4:5" s="374" customFormat="1" x14ac:dyDescent="0.2">
      <c r="D971" s="379"/>
      <c r="E971" s="379"/>
    </row>
    <row r="972" spans="4:5" s="374" customFormat="1" x14ac:dyDescent="0.2">
      <c r="D972" s="379"/>
      <c r="E972" s="379"/>
    </row>
    <row r="973" spans="4:5" s="374" customFormat="1" x14ac:dyDescent="0.2">
      <c r="D973" s="379"/>
      <c r="E973" s="379"/>
    </row>
    <row r="974" spans="4:5" s="374" customFormat="1" x14ac:dyDescent="0.2">
      <c r="D974" s="379"/>
      <c r="E974" s="379"/>
    </row>
    <row r="975" spans="4:5" s="374" customFormat="1" x14ac:dyDescent="0.2">
      <c r="D975" s="379"/>
      <c r="E975" s="379"/>
    </row>
    <row r="976" spans="4:5" s="374" customFormat="1" x14ac:dyDescent="0.2">
      <c r="D976" s="379"/>
      <c r="E976" s="379"/>
    </row>
    <row r="977" spans="4:5" s="374" customFormat="1" x14ac:dyDescent="0.2">
      <c r="D977" s="379"/>
      <c r="E977" s="379"/>
    </row>
    <row r="978" spans="4:5" s="374" customFormat="1" x14ac:dyDescent="0.2">
      <c r="D978" s="379"/>
      <c r="E978" s="379"/>
    </row>
    <row r="979" spans="4:5" s="374" customFormat="1" x14ac:dyDescent="0.2">
      <c r="D979" s="379"/>
      <c r="E979" s="379"/>
    </row>
    <row r="980" spans="4:5" s="374" customFormat="1" x14ac:dyDescent="0.2">
      <c r="D980" s="379"/>
      <c r="E980" s="379"/>
    </row>
    <row r="981" spans="4:5" s="374" customFormat="1" x14ac:dyDescent="0.2">
      <c r="D981" s="379"/>
      <c r="E981" s="379"/>
    </row>
    <row r="982" spans="4:5" s="374" customFormat="1" x14ac:dyDescent="0.2">
      <c r="D982" s="379"/>
      <c r="E982" s="379"/>
    </row>
    <row r="983" spans="4:5" s="374" customFormat="1" x14ac:dyDescent="0.2">
      <c r="D983" s="379"/>
      <c r="E983" s="379"/>
    </row>
    <row r="984" spans="4:5" s="374" customFormat="1" x14ac:dyDescent="0.2">
      <c r="D984" s="379"/>
      <c r="E984" s="379"/>
    </row>
    <row r="985" spans="4:5" s="374" customFormat="1" x14ac:dyDescent="0.2">
      <c r="D985" s="379"/>
      <c r="E985" s="379"/>
    </row>
    <row r="986" spans="4:5" s="374" customFormat="1" x14ac:dyDescent="0.2">
      <c r="D986" s="379"/>
      <c r="E986" s="379"/>
    </row>
    <row r="987" spans="4:5" s="374" customFormat="1" x14ac:dyDescent="0.2">
      <c r="D987" s="379"/>
      <c r="E987" s="379"/>
    </row>
    <row r="988" spans="4:5" s="374" customFormat="1" x14ac:dyDescent="0.2">
      <c r="D988" s="379"/>
      <c r="E988" s="379"/>
    </row>
    <row r="989" spans="4:5" s="374" customFormat="1" x14ac:dyDescent="0.2">
      <c r="D989" s="379"/>
      <c r="E989" s="379"/>
    </row>
    <row r="990" spans="4:5" s="374" customFormat="1" x14ac:dyDescent="0.2">
      <c r="D990" s="379"/>
      <c r="E990" s="379"/>
    </row>
    <row r="991" spans="4:5" s="374" customFormat="1" x14ac:dyDescent="0.2">
      <c r="D991" s="379"/>
      <c r="E991" s="379"/>
    </row>
    <row r="992" spans="4:5" s="374" customFormat="1" x14ac:dyDescent="0.2">
      <c r="D992" s="379"/>
      <c r="E992" s="379"/>
    </row>
    <row r="993" spans="4:5" s="374" customFormat="1" x14ac:dyDescent="0.2">
      <c r="D993" s="379"/>
      <c r="E993" s="379"/>
    </row>
    <row r="994" spans="4:5" s="374" customFormat="1" x14ac:dyDescent="0.2">
      <c r="D994" s="379"/>
      <c r="E994" s="379"/>
    </row>
    <row r="995" spans="4:5" s="374" customFormat="1" x14ac:dyDescent="0.2">
      <c r="D995" s="379"/>
      <c r="E995" s="379"/>
    </row>
    <row r="996" spans="4:5" s="374" customFormat="1" x14ac:dyDescent="0.2">
      <c r="D996" s="379"/>
      <c r="E996" s="379"/>
    </row>
    <row r="997" spans="4:5" s="374" customFormat="1" x14ac:dyDescent="0.2">
      <c r="D997" s="379"/>
      <c r="E997" s="379"/>
    </row>
    <row r="998" spans="4:5" s="374" customFormat="1" x14ac:dyDescent="0.2">
      <c r="D998" s="379"/>
      <c r="E998" s="379"/>
    </row>
    <row r="999" spans="4:5" s="374" customFormat="1" x14ac:dyDescent="0.2">
      <c r="D999" s="379"/>
      <c r="E999" s="379"/>
    </row>
    <row r="1000" spans="4:5" s="374" customFormat="1" x14ac:dyDescent="0.2">
      <c r="D1000" s="379"/>
      <c r="E1000" s="379"/>
    </row>
    <row r="1001" spans="4:5" s="374" customFormat="1" x14ac:dyDescent="0.2">
      <c r="D1001" s="379"/>
      <c r="E1001" s="379"/>
    </row>
    <row r="1002" spans="4:5" s="374" customFormat="1" x14ac:dyDescent="0.2">
      <c r="D1002" s="379"/>
      <c r="E1002" s="379"/>
    </row>
    <row r="1003" spans="4:5" s="374" customFormat="1" x14ac:dyDescent="0.2">
      <c r="D1003" s="379"/>
      <c r="E1003" s="379"/>
    </row>
    <row r="1004" spans="4:5" s="374" customFormat="1" x14ac:dyDescent="0.2">
      <c r="D1004" s="379"/>
      <c r="E1004" s="379"/>
    </row>
    <row r="1005" spans="4:5" s="374" customFormat="1" x14ac:dyDescent="0.2">
      <c r="D1005" s="379"/>
      <c r="E1005" s="379"/>
    </row>
    <row r="1006" spans="4:5" s="374" customFormat="1" x14ac:dyDescent="0.2">
      <c r="D1006" s="379"/>
      <c r="E1006" s="379"/>
    </row>
    <row r="1007" spans="4:5" s="374" customFormat="1" x14ac:dyDescent="0.2">
      <c r="D1007" s="379"/>
      <c r="E1007" s="379"/>
    </row>
    <row r="1008" spans="4:5" s="374" customFormat="1" x14ac:dyDescent="0.2">
      <c r="D1008" s="379"/>
      <c r="E1008" s="379"/>
    </row>
    <row r="1009" spans="4:5" s="374" customFormat="1" x14ac:dyDescent="0.2">
      <c r="D1009" s="379"/>
      <c r="E1009" s="379"/>
    </row>
    <row r="1010" spans="4:5" s="374" customFormat="1" x14ac:dyDescent="0.2">
      <c r="D1010" s="379"/>
      <c r="E1010" s="379"/>
    </row>
    <row r="1011" spans="4:5" s="374" customFormat="1" x14ac:dyDescent="0.2">
      <c r="D1011" s="379"/>
      <c r="E1011" s="379"/>
    </row>
    <row r="1012" spans="4:5" s="374" customFormat="1" x14ac:dyDescent="0.2">
      <c r="D1012" s="379"/>
      <c r="E1012" s="379"/>
    </row>
    <row r="1013" spans="4:5" s="374" customFormat="1" x14ac:dyDescent="0.2">
      <c r="D1013" s="379"/>
      <c r="E1013" s="379"/>
    </row>
    <row r="1014" spans="4:5" s="374" customFormat="1" x14ac:dyDescent="0.2">
      <c r="D1014" s="379"/>
      <c r="E1014" s="379"/>
    </row>
    <row r="1015" spans="4:5" s="374" customFormat="1" x14ac:dyDescent="0.2">
      <c r="D1015" s="379"/>
      <c r="E1015" s="379"/>
    </row>
    <row r="1016" spans="4:5" s="374" customFormat="1" x14ac:dyDescent="0.2">
      <c r="D1016" s="379"/>
      <c r="E1016" s="379"/>
    </row>
    <row r="1017" spans="4:5" s="374" customFormat="1" x14ac:dyDescent="0.2">
      <c r="D1017" s="379"/>
      <c r="E1017" s="379"/>
    </row>
    <row r="1018" spans="4:5" s="374" customFormat="1" x14ac:dyDescent="0.2">
      <c r="D1018" s="379"/>
      <c r="E1018" s="379"/>
    </row>
    <row r="1019" spans="4:5" s="374" customFormat="1" x14ac:dyDescent="0.2">
      <c r="D1019" s="379"/>
      <c r="E1019" s="379"/>
    </row>
    <row r="1020" spans="4:5" s="374" customFormat="1" x14ac:dyDescent="0.2">
      <c r="D1020" s="379"/>
      <c r="E1020" s="379"/>
    </row>
    <row r="1021" spans="4:5" s="374" customFormat="1" x14ac:dyDescent="0.2">
      <c r="D1021" s="379"/>
      <c r="E1021" s="379"/>
    </row>
    <row r="1022" spans="4:5" s="374" customFormat="1" x14ac:dyDescent="0.2">
      <c r="D1022" s="379"/>
      <c r="E1022" s="379"/>
    </row>
    <row r="1023" spans="4:5" s="374" customFormat="1" x14ac:dyDescent="0.2">
      <c r="D1023" s="379"/>
      <c r="E1023" s="379"/>
    </row>
    <row r="1024" spans="4:5" s="374" customFormat="1" x14ac:dyDescent="0.2">
      <c r="D1024" s="379"/>
      <c r="E1024" s="379"/>
    </row>
    <row r="1025" spans="4:5" s="374" customFormat="1" x14ac:dyDescent="0.2">
      <c r="D1025" s="379"/>
      <c r="E1025" s="379"/>
    </row>
    <row r="1026" spans="4:5" s="374" customFormat="1" x14ac:dyDescent="0.2">
      <c r="D1026" s="379"/>
      <c r="E1026" s="379"/>
    </row>
    <row r="1027" spans="4:5" s="374" customFormat="1" x14ac:dyDescent="0.2">
      <c r="D1027" s="379"/>
      <c r="E1027" s="379"/>
    </row>
    <row r="1028" spans="4:5" s="374" customFormat="1" x14ac:dyDescent="0.2">
      <c r="D1028" s="379"/>
      <c r="E1028" s="379"/>
    </row>
    <row r="1029" spans="4:5" s="374" customFormat="1" x14ac:dyDescent="0.2">
      <c r="D1029" s="379"/>
      <c r="E1029" s="379"/>
    </row>
    <row r="1030" spans="4:5" s="374" customFormat="1" x14ac:dyDescent="0.2">
      <c r="D1030" s="379"/>
      <c r="E1030" s="379"/>
    </row>
    <row r="1031" spans="4:5" s="374" customFormat="1" x14ac:dyDescent="0.2">
      <c r="D1031" s="379"/>
      <c r="E1031" s="379"/>
    </row>
    <row r="1032" spans="4:5" s="374" customFormat="1" x14ac:dyDescent="0.2">
      <c r="D1032" s="379"/>
      <c r="E1032" s="379"/>
    </row>
    <row r="1033" spans="4:5" s="374" customFormat="1" x14ac:dyDescent="0.2">
      <c r="D1033" s="379"/>
      <c r="E1033" s="379"/>
    </row>
    <row r="1034" spans="4:5" s="374" customFormat="1" x14ac:dyDescent="0.2">
      <c r="D1034" s="379"/>
      <c r="E1034" s="379"/>
    </row>
    <row r="1035" spans="4:5" s="374" customFormat="1" x14ac:dyDescent="0.2">
      <c r="D1035" s="379"/>
      <c r="E1035" s="379"/>
    </row>
    <row r="1036" spans="4:5" s="374" customFormat="1" x14ac:dyDescent="0.2">
      <c r="D1036" s="379"/>
      <c r="E1036" s="379"/>
    </row>
    <row r="1037" spans="4:5" s="374" customFormat="1" x14ac:dyDescent="0.2">
      <c r="D1037" s="379"/>
      <c r="E1037" s="379"/>
    </row>
    <row r="1038" spans="4:5" s="374" customFormat="1" x14ac:dyDescent="0.2">
      <c r="D1038" s="379"/>
      <c r="E1038" s="379"/>
    </row>
    <row r="1039" spans="4:5" s="374" customFormat="1" x14ac:dyDescent="0.2">
      <c r="D1039" s="379"/>
      <c r="E1039" s="379"/>
    </row>
    <row r="1040" spans="4:5" s="374" customFormat="1" x14ac:dyDescent="0.2">
      <c r="D1040" s="379"/>
      <c r="E1040" s="379"/>
    </row>
  </sheetData>
  <sheetProtection algorithmName="SHA-512" hashValue="n1H0qKYWL9Po4aX6e/1AAxD1E0UuDwiaWnczPUGke0s+IGVB9Z/XPhH+NgEnzz35BvP3j41c3PTQkVIxP7bGiA==" saltValue="50nOvad+KLBRj6PrwGkBJA==" spinCount="100000" sheet="1" objects="1" scenarios="1" selectLockedCells="1"/>
  <customSheetViews>
    <customSheetView guid="{B8FE7C60-7D84-469C-BE86-7AE2888FE41C}" scale="110" showPageBreaks="1" showGridLines="0" showRowCol="0" fitToPage="1" printArea="1" hiddenRows="1" view="pageBreakPreview">
      <selection activeCell="D6" sqref="D6:I6"/>
      <pageMargins left="0.51181102362204722" right="3.937007874015748E-2" top="0.11811023622047245" bottom="3.937007874015748E-2" header="7.874015748031496E-2" footer="0"/>
      <printOptions horizontalCentered="1" verticalCentered="1"/>
      <pageSetup paperSize="9" orientation="portrait" r:id="rId1"/>
      <headerFooter>
        <oddHeader>&amp;LBerechnung zur Aufteilung eines Grundstückskaufpreises&amp;R&amp;D &amp;T</oddHeader>
        <oddFooter>&amp;LKPA 1/13 - Kaufpreisaufteilung – Dezember 2013</oddFooter>
      </headerFooter>
    </customSheetView>
  </customSheetViews>
  <mergeCells count="71">
    <mergeCell ref="D67:J67"/>
    <mergeCell ref="D68:J68"/>
    <mergeCell ref="I26:J26"/>
    <mergeCell ref="I20:J20"/>
    <mergeCell ref="D65:F65"/>
    <mergeCell ref="H65:J65"/>
    <mergeCell ref="J28:K32"/>
    <mergeCell ref="I41:K41"/>
    <mergeCell ref="I36:J38"/>
    <mergeCell ref="D28:F29"/>
    <mergeCell ref="I39:K40"/>
    <mergeCell ref="H28:I29"/>
    <mergeCell ref="K65:L65"/>
    <mergeCell ref="D50:L50"/>
    <mergeCell ref="H63:J63"/>
    <mergeCell ref="K62:L62"/>
    <mergeCell ref="K64:L64"/>
    <mergeCell ref="D60:L60"/>
    <mergeCell ref="D61:F61"/>
    <mergeCell ref="K63:L63"/>
    <mergeCell ref="D63:F63"/>
    <mergeCell ref="C3:M3"/>
    <mergeCell ref="D13:F13"/>
    <mergeCell ref="D19:K19"/>
    <mergeCell ref="I15:J15"/>
    <mergeCell ref="L15:M15"/>
    <mergeCell ref="D17:F17"/>
    <mergeCell ref="D15:F15"/>
    <mergeCell ref="E7:K7"/>
    <mergeCell ref="E5:K5"/>
    <mergeCell ref="I17:J17"/>
    <mergeCell ref="I13:J13"/>
    <mergeCell ref="I11:J11"/>
    <mergeCell ref="I9:J9"/>
    <mergeCell ref="D51:L51"/>
    <mergeCell ref="D74:J74"/>
    <mergeCell ref="D95:J95"/>
    <mergeCell ref="K57:L57"/>
    <mergeCell ref="K55:L55"/>
    <mergeCell ref="K53:L53"/>
    <mergeCell ref="D91:J91"/>
    <mergeCell ref="D93:J93"/>
    <mergeCell ref="D89:J89"/>
    <mergeCell ref="K67:L67"/>
    <mergeCell ref="D71:G71"/>
    <mergeCell ref="K71:L71"/>
    <mergeCell ref="K66:L66"/>
    <mergeCell ref="D85:J85"/>
    <mergeCell ref="D81:J81"/>
    <mergeCell ref="D76:J76"/>
    <mergeCell ref="D83:J83"/>
    <mergeCell ref="D88:J88"/>
    <mergeCell ref="D86:J86"/>
    <mergeCell ref="D117:E117"/>
    <mergeCell ref="D114:L114"/>
    <mergeCell ref="F115:G115"/>
    <mergeCell ref="J115:K115"/>
    <mergeCell ref="D99:J99"/>
    <mergeCell ref="D101:J101"/>
    <mergeCell ref="D105:J105"/>
    <mergeCell ref="D106:J106"/>
    <mergeCell ref="D112:J112"/>
    <mergeCell ref="D84:J84"/>
    <mergeCell ref="D111:K111"/>
    <mergeCell ref="D103:J103"/>
    <mergeCell ref="D53:E53"/>
    <mergeCell ref="D55:E55"/>
    <mergeCell ref="D52:J52"/>
    <mergeCell ref="D54:J54"/>
    <mergeCell ref="F53:J53"/>
    <mergeCell ref="F55:J55"/>
  </mergeCells>
  <conditionalFormatting sqref="K62:L62">
    <cfRule type="cellIs" dxfId="102" priority="281" operator="lessThan">
      <formula>0</formula>
    </cfRule>
  </conditionalFormatting>
  <conditionalFormatting sqref="D119:L119 D115:E115 H115:I115 D116:H116 D98:L98 D109:L110 D59:L73 D113:L114 D118:H118 D117 F117:H117 L111 D111:D112 K112:L112">
    <cfRule type="expression" dxfId="101" priority="279">
      <formula>$O$21="leer"</formula>
    </cfRule>
  </conditionalFormatting>
  <conditionalFormatting sqref="J115">
    <cfRule type="expression" dxfId="100" priority="267">
      <formula>$O$21="leer"</formula>
    </cfRule>
  </conditionalFormatting>
  <conditionalFormatting sqref="L116:L117">
    <cfRule type="expression" dxfId="99" priority="262">
      <formula>$O$21="leer"</formula>
    </cfRule>
  </conditionalFormatting>
  <conditionalFormatting sqref="L118">
    <cfRule type="expression" dxfId="98" priority="261">
      <formula>$O$21="leer"</formula>
    </cfRule>
  </conditionalFormatting>
  <conditionalFormatting sqref="F115">
    <cfRule type="expression" dxfId="97" priority="259">
      <formula>$O$21="leer"</formula>
    </cfRule>
  </conditionalFormatting>
  <conditionalFormatting sqref="K116:K118">
    <cfRule type="expression" dxfId="96" priority="256">
      <formula>$O$21="leer"</formula>
    </cfRule>
  </conditionalFormatting>
  <conditionalFormatting sqref="J116:J118">
    <cfRule type="expression" dxfId="95" priority="255">
      <formula>$O$21="leer"</formula>
    </cfRule>
  </conditionalFormatting>
  <conditionalFormatting sqref="K11">
    <cfRule type="cellIs" dxfId="94" priority="248" operator="lessThan">
      <formula>1</formula>
    </cfRule>
  </conditionalFormatting>
  <conditionalFormatting sqref="K9">
    <cfRule type="cellIs" dxfId="93" priority="247" operator="lessThanOrEqual">
      <formula>0</formula>
    </cfRule>
  </conditionalFormatting>
  <conditionalFormatting sqref="G17">
    <cfRule type="cellIs" dxfId="92" priority="246" operator="lessThanOrEqual">
      <formula>0</formula>
    </cfRule>
  </conditionalFormatting>
  <conditionalFormatting sqref="K17">
    <cfRule type="cellIs" dxfId="91" priority="245" operator="lessThanOrEqual">
      <formula>0</formula>
    </cfRule>
  </conditionalFormatting>
  <conditionalFormatting sqref="G9">
    <cfRule type="cellIs" dxfId="90" priority="244" operator="lessThan">
      <formula>1958</formula>
    </cfRule>
  </conditionalFormatting>
  <conditionalFormatting sqref="E7">
    <cfRule type="cellIs" dxfId="89" priority="243" operator="equal">
      <formula>""</formula>
    </cfRule>
  </conditionalFormatting>
  <conditionalFormatting sqref="E5">
    <cfRule type="cellIs" dxfId="88" priority="242" operator="equal">
      <formula>""</formula>
    </cfRule>
  </conditionalFormatting>
  <conditionalFormatting sqref="D15:F15">
    <cfRule type="expression" dxfId="87" priority="231">
      <formula>IF(OR(ISNUMBER(SEARCH("eigentum",$E$7)),$E$7="Geschäftsgrundstücke (Geschäfts.) in Teileigentum",$E$7="Geschäftsgrundstücke (Bürog.) in Teileigentum"),"falsch","wahr")</formula>
    </cfRule>
  </conditionalFormatting>
  <conditionalFormatting sqref="I15">
    <cfRule type="expression" dxfId="86" priority="230">
      <formula>IF(OR(ISNUMBER(SEARCH("eigentum",$E$7)),$E$7="Geschäftsgrundstücke (Geschäfts.) in Teileigentum",$E$7="Geschäftsgrundstücke (Bürog.) in Teileigentum"),"falsch","wahr")</formula>
    </cfRule>
  </conditionalFormatting>
  <conditionalFormatting sqref="G11">
    <cfRule type="cellIs" dxfId="85" priority="215" operator="lessThan">
      <formula>1500</formula>
    </cfRule>
  </conditionalFormatting>
  <conditionalFormatting sqref="G15">
    <cfRule type="expression" dxfId="84" priority="282" stopIfTrue="1">
      <formula>IF(AND(ISNUMBER(SEARCH("eigentum",$E$7)),$G$15&lt;&gt;""),"wahr","falsch")</formula>
    </cfRule>
    <cfRule type="expression" dxfId="83" priority="283">
      <formula>IF(OR(ISNUMBER(SEARCH("eigentum",$E$7)),$E$7="Geschäftsgrundstücke, Bürogebäude",$E$7="Geschäftsgrundstücke, Geschäftshäuser"),"falsch","wahr")</formula>
    </cfRule>
    <cfRule type="expression" dxfId="82" priority="284">
      <formula>IF(AND(ISNUMBER(SEARCH("eigentum",$E$7)),$G$15=""),"wahr","falsch")</formula>
    </cfRule>
  </conditionalFormatting>
  <conditionalFormatting sqref="K15">
    <cfRule type="expression" dxfId="81" priority="285" stopIfTrue="1">
      <formula>IF(AND(ISNUMBER(SEARCH("eigentum",$E$7)),$K$15&lt;&gt;""),"wahr","falsch")</formula>
    </cfRule>
    <cfRule type="expression" dxfId="80" priority="286">
      <formula>IF(OR(ISNUMBER(SEARCH("eigentum",$E$7)),$E$7="Geschäftsgrundstücke, Bürogebäude",$E$7="Geschäftsgrundstücke, Geschäftshäuser"),"falsch","wahr")</formula>
    </cfRule>
    <cfRule type="expression" dxfId="79" priority="287">
      <formula>IF(AND(ISNUMBER(SEARCH("eigentum",$E$7)),$K$15=""),"wahr","falsch")</formula>
    </cfRule>
  </conditionalFormatting>
  <conditionalFormatting sqref="G26">
    <cfRule type="expression" dxfId="78" priority="142">
      <formula>$A$26="Ausblenden"</formula>
    </cfRule>
    <cfRule type="cellIs" dxfId="77" priority="174" operator="lessThanOrEqual">
      <formula>0</formula>
    </cfRule>
  </conditionalFormatting>
  <conditionalFormatting sqref="G28">
    <cfRule type="expression" dxfId="76" priority="140">
      <formula>$A$28="Ausblenden"</formula>
    </cfRule>
    <cfRule type="cellIs" dxfId="75" priority="161" operator="lessThanOrEqual">
      <formula>0</formula>
    </cfRule>
  </conditionalFormatting>
  <conditionalFormatting sqref="D26:F26">
    <cfRule type="expression" dxfId="74" priority="146">
      <formula>$A$26="Ausblenden"</formula>
    </cfRule>
  </conditionalFormatting>
  <conditionalFormatting sqref="D24">
    <cfRule type="expression" dxfId="73" priority="145">
      <formula>$A$24="Ausblenden"</formula>
    </cfRule>
  </conditionalFormatting>
  <conditionalFormatting sqref="D28 E31:E32">
    <cfRule type="expression" dxfId="72" priority="143">
      <formula>$A$28="Ausblenden"</formula>
    </cfRule>
  </conditionalFormatting>
  <conditionalFormatting sqref="G31:G32">
    <cfRule type="expression" dxfId="71" priority="89">
      <formula>$A$31="Ausblenden"</formula>
    </cfRule>
    <cfRule type="expression" dxfId="70" priority="135">
      <formula>#REF!="Ausblenden"</formula>
    </cfRule>
  </conditionalFormatting>
  <conditionalFormatting sqref="D30:F30">
    <cfRule type="expression" dxfId="69" priority="136">
      <formula>$A$28="Ausblenden"</formula>
    </cfRule>
  </conditionalFormatting>
  <conditionalFormatting sqref="D31">
    <cfRule type="expression" dxfId="68" priority="134">
      <formula>$A$28="Ausblenden"</formula>
    </cfRule>
  </conditionalFormatting>
  <conditionalFormatting sqref="D32">
    <cfRule type="expression" dxfId="67" priority="133">
      <formula>$A$28="Ausblenden"</formula>
    </cfRule>
  </conditionalFormatting>
  <conditionalFormatting sqref="D44:E44">
    <cfRule type="expression" dxfId="66" priority="123">
      <formula>$A$44="Ausblenden"</formula>
    </cfRule>
  </conditionalFormatting>
  <conditionalFormatting sqref="D46">
    <cfRule type="expression" dxfId="65" priority="122">
      <formula>$A$44="Ausblenden"</formula>
    </cfRule>
  </conditionalFormatting>
  <conditionalFormatting sqref="G46">
    <cfRule type="expression" dxfId="64" priority="121">
      <formula>$A$46="Einblenden"</formula>
    </cfRule>
  </conditionalFormatting>
  <conditionalFormatting sqref="D85:L97 D74:L83">
    <cfRule type="expression" dxfId="63" priority="119">
      <formula>$A$74="Ausblenden"</formula>
    </cfRule>
  </conditionalFormatting>
  <conditionalFormatting sqref="D99:L108">
    <cfRule type="expression" dxfId="62" priority="118">
      <formula>$A$99="Ausblenden"</formula>
    </cfRule>
  </conditionalFormatting>
  <conditionalFormatting sqref="D60:L72">
    <cfRule type="expression" dxfId="61" priority="117">
      <formula>$A$60="Ausblenden"</formula>
    </cfRule>
  </conditionalFormatting>
  <conditionalFormatting sqref="K79">
    <cfRule type="expression" dxfId="60" priority="115">
      <formula>$A$79="Ausblenden"</formula>
    </cfRule>
  </conditionalFormatting>
  <conditionalFormatting sqref="D89:K90">
    <cfRule type="expression" dxfId="59" priority="114">
      <formula>$A$89="Ausblenden"</formula>
    </cfRule>
  </conditionalFormatting>
  <conditionalFormatting sqref="D85:K85">
    <cfRule type="expression" dxfId="58" priority="113">
      <formula>$A$85="Ausblenden"</formula>
    </cfRule>
  </conditionalFormatting>
  <conditionalFormatting sqref="G32">
    <cfRule type="expression" dxfId="57" priority="137">
      <formula>IF(AND($G$32=0,$K$13&gt;0),TRUE,FALSE)</formula>
    </cfRule>
  </conditionalFormatting>
  <conditionalFormatting sqref="G31">
    <cfRule type="expression" dxfId="56" priority="92">
      <formula>IF(AND($G$31=0,$G$13&gt;0),TRUE,FALSE)</formula>
    </cfRule>
  </conditionalFormatting>
  <conditionalFormatting sqref="H28">
    <cfRule type="expression" dxfId="55" priority="90">
      <formula>$A$28="Ausblenden"</formula>
    </cfRule>
  </conditionalFormatting>
  <conditionalFormatting sqref="J28:K32">
    <cfRule type="expression" dxfId="54" priority="85">
      <formula>$A$28="Ausblenden"</formula>
    </cfRule>
  </conditionalFormatting>
  <conditionalFormatting sqref="D84:L84">
    <cfRule type="expression" dxfId="53" priority="84">
      <formula>$A$74="Ausblenden"</formula>
    </cfRule>
  </conditionalFormatting>
  <conditionalFormatting sqref="D84:K84">
    <cfRule type="expression" dxfId="52" priority="83">
      <formula>$A$85="Ausblenden"</formula>
    </cfRule>
  </conditionalFormatting>
  <conditionalFormatting sqref="D114:L119">
    <cfRule type="expression" dxfId="51" priority="81">
      <formula>$A$114="Ausblenden"</formula>
    </cfRule>
  </conditionalFormatting>
  <conditionalFormatting sqref="H39 E39:F39 L39">
    <cfRule type="expression" dxfId="50" priority="75">
      <formula>$A39="Ausblenden"</formula>
    </cfRule>
  </conditionalFormatting>
  <conditionalFormatting sqref="G44:L44 G35:I35 L35">
    <cfRule type="expression" dxfId="49" priority="294">
      <formula>#REF!="Ausblenden"</formula>
    </cfRule>
  </conditionalFormatting>
  <conditionalFormatting sqref="E46 D37:E37 E35">
    <cfRule type="expression" dxfId="48" priority="295">
      <formula>$A$37="Ausblenden"</formula>
    </cfRule>
  </conditionalFormatting>
  <conditionalFormatting sqref="G37">
    <cfRule type="expression" dxfId="47" priority="297">
      <formula>$A$37="Ausblenden"</formula>
    </cfRule>
    <cfRule type="cellIs" dxfId="46" priority="298" operator="lessThanOrEqual">
      <formula>0</formula>
    </cfRule>
  </conditionalFormatting>
  <conditionalFormatting sqref="G39">
    <cfRule type="expression" dxfId="45" priority="29">
      <formula>IF(AND($G$37="Ja",$G$39=""),TRUE)</formula>
    </cfRule>
    <cfRule type="expression" dxfId="44" priority="300">
      <formula>$A$39+$G$37=""</formula>
    </cfRule>
    <cfRule type="expression" dxfId="43" priority="301">
      <formula>$A$39="Ausblenden"</formula>
    </cfRule>
  </conditionalFormatting>
  <conditionalFormatting sqref="G39">
    <cfRule type="expression" dxfId="42" priority="304">
      <formula>$G$37="Nein"</formula>
    </cfRule>
    <cfRule type="expression" dxfId="41" priority="305">
      <formula>#REF!="Ausblenden"</formula>
    </cfRule>
    <cfRule type="expression" dxfId="40" priority="306">
      <formula>AND(#REF!="Ja",#REF!&lt;1)</formula>
    </cfRule>
  </conditionalFormatting>
  <conditionalFormatting sqref="D39">
    <cfRule type="expression" dxfId="39" priority="307">
      <formula>#REF!="Nein"</formula>
    </cfRule>
    <cfRule type="expression" dxfId="38" priority="308">
      <formula>A39="Ausblenden"</formula>
    </cfRule>
  </conditionalFormatting>
  <conditionalFormatting sqref="D35">
    <cfRule type="expression" dxfId="37" priority="66">
      <formula>$A$35="Ausblenden"</formula>
    </cfRule>
  </conditionalFormatting>
  <conditionalFormatting sqref="K78">
    <cfRule type="expression" dxfId="36" priority="65">
      <formula>$A$79="Ausblenden"</formula>
    </cfRule>
  </conditionalFormatting>
  <conditionalFormatting sqref="D78:J78">
    <cfRule type="expression" dxfId="35" priority="64">
      <formula>$A$79="Ausblenden"</formula>
    </cfRule>
  </conditionalFormatting>
  <conditionalFormatting sqref="C24">
    <cfRule type="expression" dxfId="34" priority="63">
      <formula>$A$99="Einblenden"</formula>
    </cfRule>
  </conditionalFormatting>
  <conditionalFormatting sqref="C44">
    <cfRule type="expression" dxfId="33" priority="61">
      <formula>$A$60="Einblenden"</formula>
    </cfRule>
  </conditionalFormatting>
  <conditionalFormatting sqref="C35">
    <cfRule type="expression" dxfId="32" priority="59">
      <formula>$A$74="Einblenden"</formula>
    </cfRule>
  </conditionalFormatting>
  <conditionalFormatting sqref="K37">
    <cfRule type="expression" dxfId="31" priority="39">
      <formula>C39="Ausblenden"</formula>
    </cfRule>
  </conditionalFormatting>
  <conditionalFormatting sqref="I41:K41">
    <cfRule type="expression" dxfId="30" priority="36">
      <formula>IF($I$39&lt;&gt;"",TRUE,unwahr)</formula>
    </cfRule>
  </conditionalFormatting>
  <conditionalFormatting sqref="K36">
    <cfRule type="expression" dxfId="29" priority="31">
      <formula>$A$39+$G$37=""</formula>
    </cfRule>
    <cfRule type="expression" dxfId="28" priority="32">
      <formula>$A$39="Ausblenden"</formula>
    </cfRule>
  </conditionalFormatting>
  <conditionalFormatting sqref="K36">
    <cfRule type="expression" dxfId="27" priority="33">
      <formula>$G$37="Nein"</formula>
    </cfRule>
    <cfRule type="expression" dxfId="26" priority="34">
      <formula>AND(#REF!="Ja",#REF!&lt;1)</formula>
    </cfRule>
  </conditionalFormatting>
  <conditionalFormatting sqref="I36">
    <cfRule type="expression" dxfId="25" priority="30">
      <formula>$A$37="Ausblenden"</formula>
    </cfRule>
  </conditionalFormatting>
  <conditionalFormatting sqref="K26">
    <cfRule type="expression" dxfId="24" priority="24">
      <formula>$A$28="Ausblenden"</formula>
    </cfRule>
    <cfRule type="cellIs" dxfId="23" priority="25" operator="lessThanOrEqual">
      <formula>0</formula>
    </cfRule>
  </conditionalFormatting>
  <conditionalFormatting sqref="I26">
    <cfRule type="expression" dxfId="22" priority="26">
      <formula>$A$28="Ausblenden"</formula>
    </cfRule>
  </conditionalFormatting>
  <conditionalFormatting sqref="D57:L58 D51:L51 F53 F55 D52:D54 K52:L55">
    <cfRule type="expression" dxfId="21" priority="14">
      <formula>$O$21="leer"</formula>
    </cfRule>
  </conditionalFormatting>
  <conditionalFormatting sqref="K56:L56">
    <cfRule type="expression" dxfId="20" priority="13">
      <formula>$O$21="leer"</formula>
    </cfRule>
  </conditionalFormatting>
  <conditionalFormatting sqref="K56">
    <cfRule type="expression" dxfId="19" priority="12">
      <formula>IF($E$7&lt;&gt;"Wohnungsteileigentum ","wahr","falsch")</formula>
    </cfRule>
  </conditionalFormatting>
  <conditionalFormatting sqref="D56:J56">
    <cfRule type="expression" dxfId="18" priority="11">
      <formula>$O$21="leer"</formula>
    </cfRule>
  </conditionalFormatting>
  <conditionalFormatting sqref="D56:J56">
    <cfRule type="expression" dxfId="17" priority="15">
      <formula>IF(AND(ISNUMBER(SEARCH("eigentum",$E$7)),$G$15&lt;&gt;""),"falsch","wahr")</formula>
    </cfRule>
  </conditionalFormatting>
  <conditionalFormatting sqref="D51:L51 D56:L58 F53 F55 D52:D54 K52:L55">
    <cfRule type="expression" dxfId="16" priority="10">
      <formula>$A$51="Ausblenden"</formula>
    </cfRule>
  </conditionalFormatting>
  <conditionalFormatting sqref="D55">
    <cfRule type="expression" dxfId="15" priority="9">
      <formula>$O$21="leer"</formula>
    </cfRule>
  </conditionalFormatting>
  <conditionalFormatting sqref="D55">
    <cfRule type="expression" dxfId="14" priority="8">
      <formula>$A$51="Ausblenden"</formula>
    </cfRule>
  </conditionalFormatting>
  <conditionalFormatting sqref="I39:K40">
    <cfRule type="expression" dxfId="13" priority="1">
      <formula>IF($K$36=0,TRUE)</formula>
    </cfRule>
  </conditionalFormatting>
  <dataValidations count="11">
    <dataValidation type="whole" allowBlank="1" showInputMessage="1" showErrorMessage="1" sqref="G13 K13">
      <formula1>0</formula1>
      <formula2>100</formula2>
    </dataValidation>
    <dataValidation type="whole" allowBlank="1" showInputMessage="1" showErrorMessage="1" sqref="F9">
      <formula1>1958</formula1>
      <formula2>2020</formula2>
    </dataValidation>
    <dataValidation type="whole" allowBlank="1" showInputMessage="1" showErrorMessage="1" sqref="G15 K15">
      <formula1>1</formula1>
      <formula2>1000000000000</formula2>
    </dataValidation>
    <dataValidation type="list" allowBlank="1" showInputMessage="1" showErrorMessage="1" sqref="E7:K7">
      <formula1>$D$127:$D$185</formula1>
    </dataValidation>
    <dataValidation type="date" allowBlank="1" showInputMessage="1" showErrorMessage="1" sqref="G9">
      <formula1>21186</formula1>
      <formula2>45658</formula2>
    </dataValidation>
    <dataValidation type="list" showInputMessage="1" showErrorMessage="1" sqref="G26 G37">
      <formula1>"Ja,Nein"</formula1>
    </dataValidation>
    <dataValidation type="list" showInputMessage="1" showErrorMessage="1" sqref="G48">
      <formula1>"Ja,Nein,&gt;&lt;"</formula1>
    </dataValidation>
    <dataValidation showInputMessage="1" showErrorMessage="1" sqref="G28:G29"/>
    <dataValidation type="decimal" allowBlank="1" showInputMessage="1" showErrorMessage="1" sqref="G30">
      <formula1>0</formula1>
      <formula2>10</formula2>
    </dataValidation>
    <dataValidation type="decimal" showInputMessage="1" showErrorMessage="1" sqref="G46">
      <formula1>0.5</formula1>
      <formula2>1.8</formula2>
    </dataValidation>
    <dataValidation type="list" showInputMessage="1" showErrorMessage="1" sqref="K26">
      <formula1>"Wohn- bzw. Nutzfläche, Bruttogrundfläche"</formula1>
    </dataValidation>
  </dataValidations>
  <printOptions horizontalCentered="1" verticalCentered="1"/>
  <pageMargins left="0.23622047244094491" right="0.23622047244094491" top="0" bottom="0.74803149606299213" header="0" footer="0.31496062992125984"/>
  <pageSetup paperSize="9" scale="79" fitToWidth="0" fitToHeight="0" orientation="portrait" horizontalDpi="4294967293" verticalDpi="4294967293" r:id="rId2"/>
  <headerFooter>
    <oddHeader>&amp;LBerechnung zur Aufteilung eines Grundstückskaufpreises  &amp;R&amp;D</oddHeader>
    <oddFooter>&amp;LKPA  1 - Kaufpreisaufteilung – 2021</oddFooter>
  </headerFooter>
  <rowBreaks count="1" manualBreakCount="1">
    <brk id="48" min="2" max="12" man="1"/>
  </rowBreaks>
  <ignoredErrors>
    <ignoredError sqref="K71 K67 K62 K112 K110 F117:F118 K116:K117 G116:G117 K97 K93 K88:K90 D62 K78:K79 K81 K83 K85:K86 D86 D91 D111" evalError="1"/>
  </ignoredErrors>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3" id="{4E49B7AB-1653-4514-BB52-1BB9E5D4DCF0}">
            <xm:f>IF($K$17&gt;=1000,IF((K36-VLOOKUP(E7,'EW-Bewertungsparameter'!A8:P67,K84,0))&lt;-1.5,TRUE))</xm:f>
            <x14:dxf>
              <font>
                <color rgb="FFFF0000"/>
              </font>
              <fill>
                <patternFill>
                  <bgColor rgb="FFFFFF00"/>
                </patternFill>
              </fill>
              <border>
                <left style="thin">
                  <color rgb="FFFF0000"/>
                </left>
                <right style="thin">
                  <color rgb="FFFF0000"/>
                </right>
                <top style="thin">
                  <color rgb="FFFF0000"/>
                </top>
                <bottom style="thin">
                  <color rgb="FFFF0000"/>
                </bottom>
                <vertical/>
                <horizontal/>
              </border>
            </x14:dxf>
          </x14:cfRule>
          <x14:cfRule type="expression" priority="2" id="{576AA4B3-B157-45AD-B0CF-5CDC18CD4A66}">
            <xm:f>IF($K$17&gt;=1000,IF((K36-VLOOKUP(E7,'EW-Bewertungsparameter'!A8:P67,K84,0))&lt;-2.5,TRUE))</xm:f>
            <x14:dxf>
              <font>
                <color rgb="FFFFFF00"/>
              </font>
              <fill>
                <patternFill>
                  <bgColor rgb="FFFF0000"/>
                </patternFill>
              </fill>
              <border>
                <left style="thin">
                  <color rgb="FFFFFF00"/>
                </left>
                <right style="thin">
                  <color rgb="FFFFFF00"/>
                </right>
                <top style="thin">
                  <color rgb="FFFFFF00"/>
                </top>
                <bottom style="thin">
                  <color rgb="FFFFFF00"/>
                </bottom>
                <vertical/>
                <horizontal/>
              </border>
            </x14:dxf>
          </x14:cfRule>
          <xm:sqref>I39:K40</xm:sqref>
        </x14:conditionalFormatting>
        <x14:conditionalFormatting xmlns:xm="http://schemas.microsoft.com/office/excel/2006/main">
          <x14:cfRule type="expression" priority="7" id="{DB875F8C-8125-4348-9DD6-89DE866E983B}">
            <xm:f>IF($K$17&lt;1000,IF((K36-VLOOKUP(E7,'EW-Bewertungsparameter'!A8:P67,K84,0))&lt;-1,TRUE))</xm:f>
            <x14:dxf>
              <font>
                <color rgb="FFFF0000"/>
              </font>
              <fill>
                <patternFill>
                  <bgColor rgb="FFFFFF00"/>
                </patternFill>
              </fill>
            </x14:dxf>
          </x14:cfRule>
          <x14:cfRule type="expression" priority="6" id="{67061FBE-203E-4161-B2E1-8AF4413774DB}">
            <xm:f>IF($K$17&lt;1000,IF((K36-VLOOKUP(E7,'EW-Bewertungsparameter'!A8:P67,K84,0))&lt;-2,TRUE))</xm:f>
            <x14:dxf>
              <font>
                <color rgb="FFFFFF00"/>
              </font>
              <fill>
                <patternFill>
                  <bgColor rgb="FFFF0000"/>
                </patternFill>
              </fill>
            </x14:dxf>
          </x14:cfRule>
          <xm:sqref>I39:K40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FF99"/>
  </sheetPr>
  <dimension ref="A1:N72"/>
  <sheetViews>
    <sheetView showGridLines="0" showRowColHeaders="0" zoomScale="145" zoomScaleNormal="145" zoomScaleSheetLayoutView="160" zoomScalePageLayoutView="70" workbookViewId="0">
      <selection activeCell="D17" sqref="D17"/>
    </sheetView>
  </sheetViews>
  <sheetFormatPr baseColWidth="10" defaultColWidth="11.5703125" defaultRowHeight="11.25" x14ac:dyDescent="0.2"/>
  <cols>
    <col min="1" max="1" width="0.7109375" style="119" customWidth="1"/>
    <col min="2" max="2" width="1.5703125" style="119" customWidth="1"/>
    <col min="3" max="3" width="44.28515625" style="119" customWidth="1"/>
    <col min="4" max="4" width="37.140625" style="119" customWidth="1"/>
    <col min="5" max="5" width="1.42578125" style="119" hidden="1" customWidth="1"/>
    <col min="6" max="6" width="5.42578125" style="119" hidden="1" customWidth="1"/>
    <col min="7" max="7" width="1.28515625" style="119" customWidth="1"/>
    <col min="8" max="8" width="0.7109375" style="119" customWidth="1"/>
    <col min="9" max="10" width="11.7109375" style="119" hidden="1" customWidth="1"/>
    <col min="11" max="11" width="13" style="119" hidden="1" customWidth="1"/>
    <col min="12" max="12" width="11.7109375" style="119" hidden="1" customWidth="1"/>
    <col min="13" max="14" width="0" style="119" hidden="1" customWidth="1"/>
    <col min="15" max="16384" width="11.5703125" style="119"/>
  </cols>
  <sheetData>
    <row r="1" spans="1:9" ht="3" customHeight="1" x14ac:dyDescent="0.2">
      <c r="A1" s="117"/>
      <c r="B1" s="117"/>
      <c r="C1" s="117"/>
      <c r="D1" s="118"/>
      <c r="E1" s="117"/>
      <c r="F1" s="117"/>
      <c r="G1" s="117"/>
      <c r="H1" s="117"/>
    </row>
    <row r="2" spans="1:9" x14ac:dyDescent="0.2">
      <c r="A2" s="117"/>
      <c r="B2" s="120"/>
      <c r="C2" s="121"/>
      <c r="D2" s="121"/>
      <c r="E2" s="121"/>
      <c r="F2" s="121"/>
      <c r="G2" s="122"/>
      <c r="H2" s="117"/>
    </row>
    <row r="3" spans="1:9" ht="75" customHeight="1" x14ac:dyDescent="0.2">
      <c r="A3" s="117"/>
      <c r="B3" s="778" t="s">
        <v>124</v>
      </c>
      <c r="C3" s="779"/>
      <c r="D3" s="779"/>
      <c r="E3" s="779"/>
      <c r="F3" s="779"/>
      <c r="G3" s="780"/>
      <c r="H3" s="117"/>
    </row>
    <row r="4" spans="1:9" ht="3.75" customHeight="1" x14ac:dyDescent="0.2">
      <c r="A4" s="218"/>
      <c r="B4" s="123"/>
      <c r="C4" s="124"/>
      <c r="D4" s="125"/>
      <c r="E4" s="125"/>
      <c r="F4" s="125"/>
      <c r="G4" s="126"/>
      <c r="H4" s="218"/>
      <c r="I4" s="127"/>
    </row>
    <row r="5" spans="1:9" ht="63" customHeight="1" x14ac:dyDescent="0.2">
      <c r="A5" s="117"/>
      <c r="B5" s="123"/>
      <c r="C5" s="774" t="s">
        <v>235</v>
      </c>
      <c r="D5" s="774"/>
      <c r="E5" s="125"/>
      <c r="F5" s="125"/>
      <c r="G5" s="126"/>
      <c r="H5" s="117"/>
    </row>
    <row r="6" spans="1:9" ht="1.5" customHeight="1" x14ac:dyDescent="0.2">
      <c r="A6" s="117"/>
      <c r="B6" s="123"/>
      <c r="C6" s="125"/>
      <c r="D6" s="125"/>
      <c r="E6" s="125"/>
      <c r="F6" s="125"/>
      <c r="G6" s="126"/>
      <c r="H6" s="117"/>
    </row>
    <row r="7" spans="1:9" ht="50.45" customHeight="1" x14ac:dyDescent="0.2">
      <c r="A7" s="117"/>
      <c r="B7" s="123"/>
      <c r="C7" s="128" t="s">
        <v>120</v>
      </c>
      <c r="D7" s="129" t="str">
        <f>IF(KPA!$O$21="leer","Bitte KPA ausfüllen",KPA!E7)</f>
        <v>Bitte KPA ausfüllen</v>
      </c>
      <c r="E7" s="125"/>
      <c r="F7" s="125"/>
      <c r="G7" s="126"/>
      <c r="H7" s="117"/>
    </row>
    <row r="8" spans="1:9" ht="9.75" customHeight="1" x14ac:dyDescent="0.2">
      <c r="A8" s="117"/>
      <c r="B8" s="123"/>
      <c r="C8" s="125"/>
      <c r="D8" s="125"/>
      <c r="E8" s="125"/>
      <c r="F8" s="125"/>
      <c r="G8" s="126"/>
      <c r="H8" s="117"/>
    </row>
    <row r="9" spans="1:9" hidden="1" x14ac:dyDescent="0.2">
      <c r="A9" s="117"/>
      <c r="B9" s="123"/>
      <c r="C9" s="125"/>
      <c r="D9" s="238">
        <f>KPA!G10</f>
        <v>1900</v>
      </c>
      <c r="E9" s="125"/>
      <c r="F9" s="125"/>
      <c r="G9" s="126"/>
      <c r="H9" s="117"/>
    </row>
    <row r="10" spans="1:9" ht="35.450000000000003" customHeight="1" x14ac:dyDescent="0.2">
      <c r="A10" s="117"/>
      <c r="B10" s="123"/>
      <c r="C10" s="130" t="s">
        <v>145</v>
      </c>
      <c r="D10" s="129" t="str">
        <f>IF(KPA!$O$21&lt;&gt;"leer",'SW-NHK'!F75,"Bitte KPA ausfüllen")</f>
        <v>Bitte KPA ausfüllen</v>
      </c>
      <c r="E10" s="125"/>
      <c r="F10" s="125"/>
      <c r="G10" s="126"/>
      <c r="H10" s="117"/>
    </row>
    <row r="11" spans="1:9" ht="16.899999999999999" customHeight="1" x14ac:dyDescent="0.2">
      <c r="A11" s="117"/>
      <c r="B11" s="123"/>
      <c r="C11" s="775" t="s">
        <v>125</v>
      </c>
      <c r="D11" s="775"/>
      <c r="E11" s="125"/>
      <c r="F11" s="125"/>
      <c r="G11" s="126"/>
      <c r="H11" s="117"/>
    </row>
    <row r="12" spans="1:9" ht="4.5" customHeight="1" thickBot="1" x14ac:dyDescent="0.25">
      <c r="A12" s="117"/>
      <c r="B12" s="123"/>
      <c r="C12" s="125"/>
      <c r="D12" s="237"/>
      <c r="E12" s="125"/>
      <c r="F12" s="125"/>
      <c r="G12" s="126"/>
      <c r="H12" s="117"/>
    </row>
    <row r="13" spans="1:9" s="136" customFormat="1" ht="34.9" customHeight="1" thickBot="1" x14ac:dyDescent="0.25">
      <c r="A13" s="219"/>
      <c r="B13" s="131"/>
      <c r="C13" s="132" t="s">
        <v>116</v>
      </c>
      <c r="D13" s="129" t="str">
        <f>IF(KPA!$O$21&lt;&gt;"leer",KPA!G11,"Bitte KPA ausfüllen")</f>
        <v>Bitte KPA ausfüllen</v>
      </c>
      <c r="E13" s="133"/>
      <c r="F13" s="134"/>
      <c r="G13" s="135"/>
      <c r="H13" s="219"/>
    </row>
    <row r="14" spans="1:9" s="136" customFormat="1" ht="34.9" hidden="1" customHeight="1" x14ac:dyDescent="0.2">
      <c r="A14" s="219"/>
      <c r="B14" s="131"/>
      <c r="C14" s="160"/>
      <c r="D14" s="238" t="e">
        <f>IF(KPA!G10&gt;0,IF(KPA!G10-D10&gt;D13,KPA!G10-D10,D13))</f>
        <v>#VALUE!</v>
      </c>
      <c r="E14" s="133"/>
      <c r="F14" s="134"/>
      <c r="G14" s="135"/>
      <c r="H14" s="219"/>
    </row>
    <row r="15" spans="1:9" ht="9.75" customHeight="1" thickBot="1" x14ac:dyDescent="0.25">
      <c r="A15" s="117"/>
      <c r="B15" s="123"/>
      <c r="C15" s="125"/>
      <c r="D15" s="161" t="str">
        <f>IF(KPA!$O$21&lt;&gt;"leer",IF(D13&gt;D9,IF(KPA!$O$21&lt;&gt;"leer","Ursrpüngliches Baujahr nach Anschaffungsjahr?",""),""),"")</f>
        <v/>
      </c>
      <c r="E15" s="137"/>
      <c r="F15" s="125"/>
      <c r="G15" s="126"/>
      <c r="H15" s="117"/>
    </row>
    <row r="16" spans="1:9" ht="23.25" thickBot="1" x14ac:dyDescent="0.25">
      <c r="A16" s="117"/>
      <c r="B16" s="123"/>
      <c r="C16" s="132" t="s">
        <v>118</v>
      </c>
      <c r="D16" s="138" t="s">
        <v>126</v>
      </c>
      <c r="E16" s="139" t="s">
        <v>162</v>
      </c>
      <c r="F16" s="140" t="s">
        <v>114</v>
      </c>
      <c r="G16" s="141"/>
      <c r="H16" s="117"/>
    </row>
    <row r="17" spans="1:12" x14ac:dyDescent="0.2">
      <c r="A17" s="117"/>
      <c r="B17" s="123"/>
      <c r="C17" s="244" t="s">
        <v>106</v>
      </c>
      <c r="D17" s="142" t="s">
        <v>171</v>
      </c>
      <c r="E17" s="139">
        <v>4</v>
      </c>
      <c r="F17" s="140">
        <f>IF(D17="ja",E17,IF(D17="teilweise",E17/2,0))</f>
        <v>0</v>
      </c>
      <c r="G17" s="141"/>
      <c r="H17" s="117"/>
    </row>
    <row r="18" spans="1:12" x14ac:dyDescent="0.2">
      <c r="A18" s="117"/>
      <c r="B18" s="123"/>
      <c r="C18" s="245" t="s">
        <v>107</v>
      </c>
      <c r="D18" s="143" t="s">
        <v>171</v>
      </c>
      <c r="E18" s="139">
        <v>2</v>
      </c>
      <c r="F18" s="140">
        <f t="shared" ref="F18:F24" si="0">IF(D18="ja",E18,IF(D18="teilweise",E18/2,0))</f>
        <v>0</v>
      </c>
      <c r="G18" s="141"/>
      <c r="H18" s="117"/>
    </row>
    <row r="19" spans="1:12" x14ac:dyDescent="0.2">
      <c r="A19" s="117"/>
      <c r="B19" s="123"/>
      <c r="C19" s="245" t="s">
        <v>108</v>
      </c>
      <c r="D19" s="143" t="s">
        <v>171</v>
      </c>
      <c r="E19" s="139">
        <v>2</v>
      </c>
      <c r="F19" s="140">
        <f t="shared" si="0"/>
        <v>0</v>
      </c>
      <c r="G19" s="141"/>
      <c r="H19" s="117"/>
    </row>
    <row r="20" spans="1:12" x14ac:dyDescent="0.2">
      <c r="A20" s="117"/>
      <c r="B20" s="123"/>
      <c r="C20" s="245" t="s">
        <v>109</v>
      </c>
      <c r="D20" s="143" t="s">
        <v>171</v>
      </c>
      <c r="E20" s="139">
        <v>2</v>
      </c>
      <c r="F20" s="140">
        <f t="shared" si="0"/>
        <v>0</v>
      </c>
      <c r="G20" s="141"/>
      <c r="H20" s="117"/>
    </row>
    <row r="21" spans="1:12" x14ac:dyDescent="0.2">
      <c r="A21" s="117"/>
      <c r="B21" s="123"/>
      <c r="C21" s="245" t="s">
        <v>110</v>
      </c>
      <c r="D21" s="143" t="s">
        <v>171</v>
      </c>
      <c r="E21" s="139">
        <v>4</v>
      </c>
      <c r="F21" s="140">
        <f t="shared" si="0"/>
        <v>0</v>
      </c>
      <c r="G21" s="141"/>
      <c r="H21" s="117"/>
    </row>
    <row r="22" spans="1:12" x14ac:dyDescent="0.2">
      <c r="A22" s="117"/>
      <c r="B22" s="123"/>
      <c r="C22" s="245" t="s">
        <v>111</v>
      </c>
      <c r="D22" s="143" t="s">
        <v>171</v>
      </c>
      <c r="E22" s="139">
        <v>2</v>
      </c>
      <c r="F22" s="140">
        <f t="shared" si="0"/>
        <v>0</v>
      </c>
      <c r="G22" s="141"/>
      <c r="H22" s="117"/>
    </row>
    <row r="23" spans="1:12" x14ac:dyDescent="0.2">
      <c r="A23" s="117"/>
      <c r="B23" s="123"/>
      <c r="C23" s="245" t="s">
        <v>112</v>
      </c>
      <c r="D23" s="143" t="s">
        <v>171</v>
      </c>
      <c r="E23" s="139">
        <v>2</v>
      </c>
      <c r="F23" s="140">
        <f t="shared" si="0"/>
        <v>0</v>
      </c>
      <c r="G23" s="141"/>
      <c r="H23" s="117"/>
    </row>
    <row r="24" spans="1:12" ht="12" thickBot="1" x14ac:dyDescent="0.25">
      <c r="A24" s="117"/>
      <c r="B24" s="123"/>
      <c r="C24" s="246" t="s">
        <v>113</v>
      </c>
      <c r="D24" s="144" t="s">
        <v>171</v>
      </c>
      <c r="E24" s="139">
        <v>2</v>
      </c>
      <c r="F24" s="140">
        <f t="shared" si="0"/>
        <v>0</v>
      </c>
      <c r="G24" s="141"/>
      <c r="H24" s="117"/>
    </row>
    <row r="25" spans="1:12" ht="36.6" customHeight="1" x14ac:dyDescent="0.2">
      <c r="A25" s="117"/>
      <c r="B25" s="123"/>
      <c r="C25" s="783" t="s">
        <v>347</v>
      </c>
      <c r="D25" s="783"/>
      <c r="E25" s="133"/>
      <c r="F25" s="145">
        <f>SUM(F17:F24)</f>
        <v>0</v>
      </c>
      <c r="G25" s="146"/>
      <c r="H25" s="117"/>
    </row>
    <row r="26" spans="1:12" ht="13.5" hidden="1" customHeight="1" x14ac:dyDescent="0.2">
      <c r="A26" s="208"/>
      <c r="B26" s="123"/>
      <c r="C26" s="125"/>
      <c r="D26" s="158"/>
      <c r="E26" s="137"/>
      <c r="F26" s="125"/>
      <c r="G26" s="126"/>
      <c r="H26" s="210"/>
      <c r="I26" s="207"/>
    </row>
    <row r="27" spans="1:12" ht="13.5" hidden="1" customHeight="1" x14ac:dyDescent="0.25">
      <c r="A27" s="211"/>
      <c r="B27" s="123"/>
      <c r="C27" s="125" t="e">
        <f t="shared" ref="C27:C43" si="1">IF((1-(($D$9-$D$14)/$D$10))&lt;=(1-$L27),IF($F$25=$H27,ROUND((($I27*100/$D$10)*(($D$9-$D$14)^2))-($J27*($D$9-$D$14))+($K27*$D$10/100),0),0),0)</f>
        <v>#VALUE!</v>
      </c>
      <c r="D27" s="158"/>
      <c r="E27" s="137"/>
      <c r="F27" s="125"/>
      <c r="G27" s="125"/>
      <c r="H27" s="226">
        <v>1</v>
      </c>
      <c r="I27" s="221">
        <v>1.2500000000000001E-2</v>
      </c>
      <c r="J27" s="213">
        <v>2.625</v>
      </c>
      <c r="K27" s="213">
        <v>152.5</v>
      </c>
      <c r="L27" s="213">
        <v>0.6</v>
      </c>
    </row>
    <row r="28" spans="1:12" ht="13.5" hidden="1" customHeight="1" x14ac:dyDescent="0.25">
      <c r="A28" s="211"/>
      <c r="B28" s="123"/>
      <c r="C28" s="125" t="e">
        <f t="shared" si="1"/>
        <v>#VALUE!</v>
      </c>
      <c r="D28" s="158"/>
      <c r="E28" s="137"/>
      <c r="F28" s="125"/>
      <c r="G28" s="125"/>
      <c r="H28" s="212">
        <v>2</v>
      </c>
      <c r="I28" s="222">
        <v>1.0766666666666667E-2</v>
      </c>
      <c r="J28" s="214">
        <v>2.2756666666666665</v>
      </c>
      <c r="K28" s="214">
        <v>138.77666666666667</v>
      </c>
      <c r="L28" s="214">
        <v>0.53333333333333333</v>
      </c>
    </row>
    <row r="29" spans="1:12" ht="13.5" hidden="1" customHeight="1" x14ac:dyDescent="0.25">
      <c r="A29" s="211"/>
      <c r="B29" s="123"/>
      <c r="C29" s="125" t="e">
        <f t="shared" si="1"/>
        <v>#VALUE!</v>
      </c>
      <c r="D29" s="158"/>
      <c r="E29" s="137"/>
      <c r="F29" s="125"/>
      <c r="G29" s="125"/>
      <c r="H29" s="212">
        <v>3</v>
      </c>
      <c r="I29" s="222">
        <v>9.0333333333333342E-3</v>
      </c>
      <c r="J29" s="214">
        <v>1.9263333333333332</v>
      </c>
      <c r="K29" s="214">
        <v>125.05333333333334</v>
      </c>
      <c r="L29" s="214">
        <v>0.46666666666666667</v>
      </c>
    </row>
    <row r="30" spans="1:12" ht="13.5" hidden="1" customHeight="1" x14ac:dyDescent="0.25">
      <c r="A30" s="211"/>
      <c r="B30" s="123"/>
      <c r="C30" s="125" t="e">
        <f t="shared" si="1"/>
        <v>#VALUE!</v>
      </c>
      <c r="D30" s="158"/>
      <c r="E30" s="137"/>
      <c r="F30" s="125"/>
      <c r="G30" s="125"/>
      <c r="H30" s="226">
        <v>4</v>
      </c>
      <c r="I30" s="221">
        <v>7.3000000000000001E-3</v>
      </c>
      <c r="J30" s="213">
        <v>1.577</v>
      </c>
      <c r="K30" s="213">
        <v>111.33</v>
      </c>
      <c r="L30" s="213">
        <v>0.4</v>
      </c>
    </row>
    <row r="31" spans="1:12" ht="13.5" hidden="1" customHeight="1" x14ac:dyDescent="0.25">
      <c r="A31" s="211"/>
      <c r="B31" s="123"/>
      <c r="C31" s="125" t="e">
        <f t="shared" si="1"/>
        <v>#VALUE!</v>
      </c>
      <c r="D31" s="158"/>
      <c r="E31" s="137"/>
      <c r="F31" s="125"/>
      <c r="G31" s="125"/>
      <c r="H31" s="212">
        <v>5</v>
      </c>
      <c r="I31" s="223">
        <v>6.7250000000000001E-3</v>
      </c>
      <c r="J31" s="215">
        <v>1.4577499999999999</v>
      </c>
      <c r="K31" s="215">
        <v>108.4975</v>
      </c>
      <c r="L31" s="215">
        <v>0.35000000000000003</v>
      </c>
    </row>
    <row r="32" spans="1:12" ht="13.5" hidden="1" customHeight="1" x14ac:dyDescent="0.25">
      <c r="A32" s="211"/>
      <c r="B32" s="123"/>
      <c r="C32" s="125" t="e">
        <f t="shared" si="1"/>
        <v>#VALUE!</v>
      </c>
      <c r="D32" s="158"/>
      <c r="E32" s="137"/>
      <c r="F32" s="125"/>
      <c r="G32" s="125"/>
      <c r="H32" s="212">
        <v>6</v>
      </c>
      <c r="I32" s="223">
        <v>6.1500000000000001E-3</v>
      </c>
      <c r="J32" s="215">
        <v>1.3385</v>
      </c>
      <c r="K32" s="215">
        <v>105.66500000000001</v>
      </c>
      <c r="L32" s="215">
        <v>0.30000000000000004</v>
      </c>
    </row>
    <row r="33" spans="1:14" ht="13.5" hidden="1" customHeight="1" x14ac:dyDescent="0.25">
      <c r="A33" s="211"/>
      <c r="B33" s="123"/>
      <c r="C33" s="125" t="e">
        <f t="shared" si="1"/>
        <v>#VALUE!</v>
      </c>
      <c r="D33" s="158"/>
      <c r="E33" s="137"/>
      <c r="F33" s="125"/>
      <c r="G33" s="125"/>
      <c r="H33" s="212">
        <v>7</v>
      </c>
      <c r="I33" s="223">
        <v>5.5750000000000001E-3</v>
      </c>
      <c r="J33" s="215">
        <v>1.2192500000000002</v>
      </c>
      <c r="K33" s="215">
        <v>102.83250000000001</v>
      </c>
      <c r="L33" s="215">
        <v>0.25</v>
      </c>
    </row>
    <row r="34" spans="1:14" ht="13.5" hidden="1" customHeight="1" x14ac:dyDescent="0.25">
      <c r="A34" s="211"/>
      <c r="B34" s="123"/>
      <c r="C34" s="125" t="e">
        <f t="shared" si="1"/>
        <v>#VALUE!</v>
      </c>
      <c r="D34" s="158"/>
      <c r="E34" s="137"/>
      <c r="F34" s="125"/>
      <c r="G34" s="125"/>
      <c r="H34" s="226">
        <v>8</v>
      </c>
      <c r="I34" s="221">
        <v>5.0000000000000001E-3</v>
      </c>
      <c r="J34" s="213">
        <v>1.1000000000000001</v>
      </c>
      <c r="K34" s="213">
        <v>100</v>
      </c>
      <c r="L34" s="213">
        <v>0.2</v>
      </c>
    </row>
    <row r="35" spans="1:14" ht="13.5" hidden="1" customHeight="1" x14ac:dyDescent="0.25">
      <c r="A35" s="211"/>
      <c r="B35" s="123"/>
      <c r="C35" s="125" t="e">
        <f t="shared" si="1"/>
        <v>#VALUE!</v>
      </c>
      <c r="D35" s="158"/>
      <c r="E35" s="137"/>
      <c r="F35" s="125"/>
      <c r="G35" s="125"/>
      <c r="H35" s="212">
        <v>9</v>
      </c>
      <c r="I35" s="224">
        <v>4.6600000000000001E-3</v>
      </c>
      <c r="J35" s="216">
        <v>1.0270000000000001</v>
      </c>
      <c r="K35" s="216">
        <v>99.055999999999997</v>
      </c>
      <c r="L35" s="216">
        <v>0.19</v>
      </c>
    </row>
    <row r="36" spans="1:14" ht="13.5" hidden="1" customHeight="1" x14ac:dyDescent="0.25">
      <c r="A36" s="211"/>
      <c r="B36" s="123"/>
      <c r="C36" s="125" t="e">
        <f t="shared" si="1"/>
        <v>#VALUE!</v>
      </c>
      <c r="D36" s="158"/>
      <c r="E36" s="137"/>
      <c r="F36" s="125"/>
      <c r="G36" s="125"/>
      <c r="H36" s="212">
        <v>10</v>
      </c>
      <c r="I36" s="224">
        <v>4.3200000000000001E-3</v>
      </c>
      <c r="J36" s="216">
        <v>0.95400000000000007</v>
      </c>
      <c r="K36" s="216">
        <v>98.111999999999995</v>
      </c>
      <c r="L36" s="216">
        <v>0.18</v>
      </c>
    </row>
    <row r="37" spans="1:14" ht="13.5" hidden="1" customHeight="1" x14ac:dyDescent="0.25">
      <c r="A37" s="211"/>
      <c r="B37" s="123"/>
      <c r="C37" s="125" t="e">
        <f t="shared" si="1"/>
        <v>#VALUE!</v>
      </c>
      <c r="D37" s="158"/>
      <c r="E37" s="137"/>
      <c r="F37" s="125"/>
      <c r="G37" s="125"/>
      <c r="H37" s="212">
        <v>11</v>
      </c>
      <c r="I37" s="224">
        <v>3.98E-3</v>
      </c>
      <c r="J37" s="216">
        <v>0.88100000000000001</v>
      </c>
      <c r="K37" s="216">
        <v>97.167999999999992</v>
      </c>
      <c r="L37" s="216">
        <v>0.16999999999999998</v>
      </c>
    </row>
    <row r="38" spans="1:14" ht="13.5" hidden="1" customHeight="1" x14ac:dyDescent="0.25">
      <c r="A38" s="211"/>
      <c r="B38" s="123"/>
      <c r="C38" s="125" t="e">
        <f t="shared" si="1"/>
        <v>#VALUE!</v>
      </c>
      <c r="D38" s="158"/>
      <c r="E38" s="137"/>
      <c r="F38" s="125"/>
      <c r="G38" s="125"/>
      <c r="H38" s="212">
        <v>12</v>
      </c>
      <c r="I38" s="224">
        <v>3.64E-3</v>
      </c>
      <c r="J38" s="216">
        <v>0.80800000000000005</v>
      </c>
      <c r="K38" s="216">
        <v>96.22399999999999</v>
      </c>
      <c r="L38" s="216">
        <v>0.15999999999999998</v>
      </c>
    </row>
    <row r="39" spans="1:14" ht="13.5" hidden="1" customHeight="1" x14ac:dyDescent="0.25">
      <c r="A39" s="211"/>
      <c r="B39" s="123"/>
      <c r="C39" s="125" t="e">
        <f t="shared" si="1"/>
        <v>#VALUE!</v>
      </c>
      <c r="D39" s="158"/>
      <c r="E39" s="137"/>
      <c r="F39" s="125"/>
      <c r="G39" s="125"/>
      <c r="H39" s="226">
        <v>13</v>
      </c>
      <c r="I39" s="221">
        <v>3.3E-3</v>
      </c>
      <c r="J39" s="213">
        <v>0.73499999999999999</v>
      </c>
      <c r="K39" s="213">
        <v>95.28</v>
      </c>
      <c r="L39" s="213">
        <v>0.15</v>
      </c>
    </row>
    <row r="40" spans="1:14" ht="13.5" hidden="1" customHeight="1" x14ac:dyDescent="0.25">
      <c r="A40" s="211"/>
      <c r="B40" s="123"/>
      <c r="C40" s="125" t="e">
        <f t="shared" si="1"/>
        <v>#VALUE!</v>
      </c>
      <c r="D40" s="158"/>
      <c r="E40" s="137"/>
      <c r="F40" s="125"/>
      <c r="G40" s="125"/>
      <c r="H40" s="212">
        <v>14</v>
      </c>
      <c r="I40" s="225">
        <v>3.0400000000000002E-3</v>
      </c>
      <c r="J40" s="217">
        <v>0.67599999999999993</v>
      </c>
      <c r="K40" s="217">
        <v>95.064000000000007</v>
      </c>
      <c r="L40" s="217">
        <v>0.14000000000000001</v>
      </c>
    </row>
    <row r="41" spans="1:14" ht="13.5" hidden="1" customHeight="1" x14ac:dyDescent="0.25">
      <c r="A41" s="211"/>
      <c r="B41" s="123"/>
      <c r="C41" s="125" t="e">
        <f t="shared" si="1"/>
        <v>#VALUE!</v>
      </c>
      <c r="D41" s="158"/>
      <c r="E41" s="137"/>
      <c r="F41" s="125"/>
      <c r="G41" s="125"/>
      <c r="H41" s="212">
        <v>15</v>
      </c>
      <c r="I41" s="225">
        <v>2.7800000000000004E-3</v>
      </c>
      <c r="J41" s="217">
        <v>0.61699999999999999</v>
      </c>
      <c r="K41" s="217">
        <v>94.848000000000013</v>
      </c>
      <c r="L41" s="217">
        <v>0.13</v>
      </c>
    </row>
    <row r="42" spans="1:14" ht="13.5" hidden="1" customHeight="1" x14ac:dyDescent="0.25">
      <c r="A42" s="211"/>
      <c r="B42" s="123"/>
      <c r="C42" s="125" t="e">
        <f t="shared" si="1"/>
        <v>#VALUE!</v>
      </c>
      <c r="D42" s="158"/>
      <c r="E42" s="137"/>
      <c r="F42" s="125"/>
      <c r="G42" s="125"/>
      <c r="H42" s="212">
        <v>16</v>
      </c>
      <c r="I42" s="225">
        <v>2.5200000000000001E-3</v>
      </c>
      <c r="J42" s="217">
        <v>0.55800000000000005</v>
      </c>
      <c r="K42" s="217">
        <v>94.632000000000005</v>
      </c>
      <c r="L42" s="217">
        <v>0.12</v>
      </c>
    </row>
    <row r="43" spans="1:14" ht="13.5" hidden="1" customHeight="1" x14ac:dyDescent="0.25">
      <c r="A43" s="211"/>
      <c r="B43" s="123"/>
      <c r="C43" s="125" t="e">
        <f t="shared" si="1"/>
        <v>#VALUE!</v>
      </c>
      <c r="D43" s="158"/>
      <c r="E43" s="137"/>
      <c r="F43" s="125"/>
      <c r="G43" s="125"/>
      <c r="H43" s="212">
        <v>17</v>
      </c>
      <c r="I43" s="225">
        <v>2.2599999999999999E-3</v>
      </c>
      <c r="J43" s="217">
        <v>0.499</v>
      </c>
      <c r="K43" s="217">
        <v>94.415999999999997</v>
      </c>
      <c r="L43" s="217">
        <v>0.10999999999999999</v>
      </c>
    </row>
    <row r="44" spans="1:14" ht="13.5" hidden="1" customHeight="1" x14ac:dyDescent="0.25">
      <c r="A44" s="211"/>
      <c r="B44" s="123"/>
      <c r="C44" s="125" t="e">
        <f>IF((1-(($D$9-$D$14)/$D$10))&lt;=(1-$L44),IF($F$25&gt;=$H44,ROUND((($I44*100/$D$10)*(($D$9-$D$14)^2))-($J44*($D$9-$D$14))+($K44*$D$10/100),0),0),0)</f>
        <v>#VALUE!</v>
      </c>
      <c r="D44" s="158"/>
      <c r="E44" s="137"/>
      <c r="F44" s="125"/>
      <c r="G44" s="125"/>
      <c r="H44" s="226">
        <v>18</v>
      </c>
      <c r="I44" s="221">
        <v>2E-3</v>
      </c>
      <c r="J44" s="213">
        <v>0.44</v>
      </c>
      <c r="K44" s="213">
        <v>94.2</v>
      </c>
      <c r="L44" s="213">
        <v>0.1</v>
      </c>
    </row>
    <row r="45" spans="1:14" ht="13.5" hidden="1" customHeight="1" x14ac:dyDescent="0.25">
      <c r="A45" s="205"/>
      <c r="B45" s="123"/>
      <c r="C45" s="125"/>
      <c r="D45" s="158"/>
      <c r="E45" s="137"/>
      <c r="F45" s="125"/>
      <c r="G45" s="126"/>
      <c r="H45" s="209"/>
      <c r="I45" s="206"/>
      <c r="J45" s="204"/>
      <c r="K45" s="204"/>
      <c r="L45" s="204"/>
      <c r="M45" s="204"/>
      <c r="N45" s="204"/>
    </row>
    <row r="46" spans="1:14" ht="9.75" customHeight="1" x14ac:dyDescent="0.2">
      <c r="A46" s="117"/>
      <c r="B46" s="123"/>
      <c r="C46" s="125"/>
      <c r="D46" s="158"/>
      <c r="E46" s="137"/>
      <c r="F46" s="125"/>
      <c r="G46" s="126"/>
      <c r="H46" s="117"/>
    </row>
    <row r="47" spans="1:14" ht="34.9" customHeight="1" x14ac:dyDescent="0.2">
      <c r="A47" s="117"/>
      <c r="B47" s="123"/>
      <c r="C47" s="147" t="s">
        <v>115</v>
      </c>
      <c r="D47" s="129" t="str">
        <f>IF(D10="Bitte KPA ausfüllen","-",IF((1-((D9-D14)/D10))&lt;0.9,IF(F25&gt;=18,"umfassend modernisiert",IF(F25&gt;=13,"überwiegend modernisiert",IF(F25&gt;=8,"mittlerer Modernisierungsgrad",IF(F25&gt;=4,"kleine Modernisierungen im Rahmen der Instandhaltung","-")))),"-"))</f>
        <v>-</v>
      </c>
      <c r="E47" s="137"/>
      <c r="F47" s="125"/>
      <c r="G47" s="126"/>
      <c r="H47" s="117"/>
    </row>
    <row r="48" spans="1:14" ht="12" thickBot="1" x14ac:dyDescent="0.25">
      <c r="A48" s="117"/>
      <c r="B48" s="123"/>
      <c r="C48" s="148"/>
      <c r="D48" s="148"/>
      <c r="E48" s="137"/>
      <c r="F48" s="125"/>
      <c r="G48" s="126"/>
      <c r="H48" s="117"/>
    </row>
    <row r="49" spans="1:8" ht="35.450000000000003" customHeight="1" x14ac:dyDescent="0.2">
      <c r="A49" s="117"/>
      <c r="B49" s="123"/>
      <c r="C49" s="781" t="s">
        <v>117</v>
      </c>
      <c r="D49" s="149" t="str">
        <f>IF(D13&gt;1499,IF(KPA!$O$21&lt;&gt;"leer",IF(SUM(C27:C44)&gt;0,KPA!G10+SUM('Fiktives Baujahr'!C27:C44)-'SW-NHK'!F75,D13),"Bitte KPA ausfüllen"),"")</f>
        <v>Bitte KPA ausfüllen</v>
      </c>
      <c r="E49" s="137"/>
      <c r="F49" s="125"/>
      <c r="G49" s="126"/>
      <c r="H49" s="117"/>
    </row>
    <row r="50" spans="1:8" ht="55.5" customHeight="1" thickBot="1" x14ac:dyDescent="0.25">
      <c r="A50" s="117"/>
      <c r="B50" s="123"/>
      <c r="C50" s="782"/>
      <c r="D50" s="239" t="str">
        <f>IF(KPA!$O$21&lt;&gt;"leer",IF(D49&gt;D13,"Das fiktive Baujahr wurde automatisch in die Berechnung zur Kaufpreisaufteilung (KPA) übertragen!",""),"")</f>
        <v/>
      </c>
      <c r="E50" s="137"/>
      <c r="F50" s="125"/>
      <c r="G50" s="126"/>
      <c r="H50" s="117"/>
    </row>
    <row r="51" spans="1:8" ht="8.25" customHeight="1" x14ac:dyDescent="0.2">
      <c r="A51" s="117"/>
      <c r="B51" s="150"/>
      <c r="C51" s="151"/>
      <c r="D51" s="151"/>
      <c r="E51" s="151"/>
      <c r="F51" s="151"/>
      <c r="G51" s="159" t="str">
        <f>IF(D13&lt;&gt;"","","rote Felder sind Pflichtfelder!")</f>
        <v/>
      </c>
      <c r="H51" s="117"/>
    </row>
    <row r="52" spans="1:8" ht="6" customHeight="1" x14ac:dyDescent="0.2">
      <c r="A52" s="117"/>
      <c r="B52" s="117"/>
      <c r="C52" s="220"/>
      <c r="D52" s="220"/>
      <c r="E52" s="117"/>
      <c r="F52" s="117"/>
      <c r="G52" s="117"/>
      <c r="H52" s="117"/>
    </row>
    <row r="53" spans="1:8" ht="17.45" customHeight="1" x14ac:dyDescent="0.2">
      <c r="A53" s="117"/>
      <c r="B53" s="120"/>
      <c r="C53" s="775" t="s">
        <v>234</v>
      </c>
      <c r="D53" s="775"/>
      <c r="E53" s="121"/>
      <c r="F53" s="121"/>
      <c r="G53" s="122"/>
      <c r="H53" s="117"/>
    </row>
    <row r="54" spans="1:8" x14ac:dyDescent="0.2">
      <c r="A54" s="117"/>
      <c r="B54" s="123"/>
      <c r="C54" s="776"/>
      <c r="D54" s="776"/>
      <c r="E54" s="125"/>
      <c r="F54" s="125"/>
      <c r="G54" s="126"/>
      <c r="H54" s="117"/>
    </row>
    <row r="55" spans="1:8" x14ac:dyDescent="0.2">
      <c r="A55" s="117"/>
      <c r="B55" s="123"/>
      <c r="C55" s="776"/>
      <c r="D55" s="776"/>
      <c r="E55" s="125"/>
      <c r="F55" s="125"/>
      <c r="G55" s="126"/>
      <c r="H55" s="117"/>
    </row>
    <row r="56" spans="1:8" x14ac:dyDescent="0.2">
      <c r="A56" s="117"/>
      <c r="B56" s="123"/>
      <c r="C56" s="776"/>
      <c r="D56" s="776"/>
      <c r="E56" s="125"/>
      <c r="F56" s="125"/>
      <c r="G56" s="126"/>
      <c r="H56" s="117"/>
    </row>
    <row r="57" spans="1:8" x14ac:dyDescent="0.2">
      <c r="A57" s="117"/>
      <c r="B57" s="123"/>
      <c r="C57" s="776"/>
      <c r="D57" s="776"/>
      <c r="E57" s="125"/>
      <c r="F57" s="125"/>
      <c r="G57" s="126"/>
      <c r="H57" s="117"/>
    </row>
    <row r="58" spans="1:8" x14ac:dyDescent="0.2">
      <c r="A58" s="117"/>
      <c r="B58" s="123"/>
      <c r="C58" s="776"/>
      <c r="D58" s="776"/>
      <c r="E58" s="125"/>
      <c r="F58" s="125"/>
      <c r="G58" s="126"/>
      <c r="H58" s="117"/>
    </row>
    <row r="59" spans="1:8" x14ac:dyDescent="0.2">
      <c r="A59" s="117"/>
      <c r="B59" s="123"/>
      <c r="C59" s="776"/>
      <c r="D59" s="776"/>
      <c r="E59" s="125"/>
      <c r="F59" s="125"/>
      <c r="G59" s="126"/>
      <c r="H59" s="117"/>
    </row>
    <row r="60" spans="1:8" x14ac:dyDescent="0.2">
      <c r="A60" s="117"/>
      <c r="B60" s="123"/>
      <c r="C60" s="776"/>
      <c r="D60" s="776"/>
      <c r="E60" s="125"/>
      <c r="F60" s="125"/>
      <c r="G60" s="126"/>
      <c r="H60" s="117"/>
    </row>
    <row r="61" spans="1:8" x14ac:dyDescent="0.2">
      <c r="A61" s="117"/>
      <c r="B61" s="123"/>
      <c r="C61" s="776"/>
      <c r="D61" s="776"/>
      <c r="E61" s="125"/>
      <c r="F61" s="125"/>
      <c r="G61" s="126"/>
      <c r="H61" s="117"/>
    </row>
    <row r="62" spans="1:8" x14ac:dyDescent="0.2">
      <c r="A62" s="117"/>
      <c r="B62" s="123"/>
      <c r="C62" s="776"/>
      <c r="D62" s="776"/>
      <c r="E62" s="125"/>
      <c r="F62" s="125"/>
      <c r="G62" s="126"/>
      <c r="H62" s="117"/>
    </row>
    <row r="63" spans="1:8" x14ac:dyDescent="0.2">
      <c r="A63" s="117"/>
      <c r="B63" s="123"/>
      <c r="C63" s="776"/>
      <c r="D63" s="776"/>
      <c r="E63" s="125"/>
      <c r="F63" s="125"/>
      <c r="G63" s="126"/>
      <c r="H63" s="117"/>
    </row>
    <row r="64" spans="1:8" x14ac:dyDescent="0.2">
      <c r="A64" s="117"/>
      <c r="B64" s="123"/>
      <c r="C64" s="776"/>
      <c r="D64" s="776"/>
      <c r="E64" s="125"/>
      <c r="F64" s="125"/>
      <c r="G64" s="126"/>
      <c r="H64" s="117"/>
    </row>
    <row r="65" spans="1:8" x14ac:dyDescent="0.2">
      <c r="A65" s="117"/>
      <c r="B65" s="123"/>
      <c r="C65" s="776"/>
      <c r="D65" s="776"/>
      <c r="E65" s="125"/>
      <c r="F65" s="125"/>
      <c r="G65" s="126"/>
      <c r="H65" s="117"/>
    </row>
    <row r="66" spans="1:8" x14ac:dyDescent="0.2">
      <c r="A66" s="117"/>
      <c r="B66" s="123"/>
      <c r="C66" s="776"/>
      <c r="D66" s="776"/>
      <c r="E66" s="125"/>
      <c r="F66" s="125"/>
      <c r="G66" s="126"/>
      <c r="H66" s="117"/>
    </row>
    <row r="67" spans="1:8" x14ac:dyDescent="0.2">
      <c r="A67" s="117"/>
      <c r="B67" s="123"/>
      <c r="C67" s="776"/>
      <c r="D67" s="776"/>
      <c r="E67" s="125"/>
      <c r="F67" s="125"/>
      <c r="G67" s="126"/>
      <c r="H67" s="117"/>
    </row>
    <row r="68" spans="1:8" hidden="1" x14ac:dyDescent="0.2">
      <c r="A68" s="117"/>
      <c r="B68" s="123"/>
      <c r="C68" s="776"/>
      <c r="D68" s="776"/>
      <c r="E68" s="125"/>
      <c r="F68" s="125"/>
      <c r="G68" s="126"/>
      <c r="H68" s="117"/>
    </row>
    <row r="69" spans="1:8" hidden="1" x14ac:dyDescent="0.2">
      <c r="A69" s="117"/>
      <c r="B69" s="123"/>
      <c r="C69" s="776"/>
      <c r="D69" s="776"/>
      <c r="E69" s="125"/>
      <c r="F69" s="125"/>
      <c r="G69" s="126"/>
      <c r="H69" s="117"/>
    </row>
    <row r="70" spans="1:8" hidden="1" x14ac:dyDescent="0.2">
      <c r="A70" s="117"/>
      <c r="B70" s="123"/>
      <c r="C70" s="776"/>
      <c r="D70" s="776"/>
      <c r="E70" s="125"/>
      <c r="F70" s="125"/>
      <c r="G70" s="126"/>
      <c r="H70" s="117"/>
    </row>
    <row r="71" spans="1:8" x14ac:dyDescent="0.2">
      <c r="A71" s="117"/>
      <c r="B71" s="150"/>
      <c r="C71" s="777"/>
      <c r="D71" s="777"/>
      <c r="E71" s="151"/>
      <c r="F71" s="151"/>
      <c r="G71" s="152"/>
      <c r="H71" s="117"/>
    </row>
    <row r="72" spans="1:8" ht="3" customHeight="1" x14ac:dyDescent="0.2">
      <c r="A72" s="117"/>
      <c r="B72" s="117"/>
      <c r="C72" s="117"/>
      <c r="D72" s="117"/>
      <c r="E72" s="117"/>
      <c r="F72" s="117"/>
      <c r="G72" s="117"/>
      <c r="H72" s="117"/>
    </row>
  </sheetData>
  <sheetProtection algorithmName="SHA-512" hashValue="988tcYvho5Assexowg+xjo4k7zUsUW2XnYsapMPWHJic7qQ1Osdhqav1wJDBub4uwMG3AqOgw6p97w3bozQvow==" saltValue="A1N5YEG5KGU2aCAAObV1OA==" spinCount="100000" sheet="1" selectLockedCells="1"/>
  <customSheetViews>
    <customSheetView guid="{B8FE7C60-7D84-469C-BE86-7AE2888FE41C}" scale="90" showGridLines="0" showRowCol="0" hiddenRows="1" hiddenColumns="1" topLeftCell="A10">
      <selection activeCell="D15" sqref="D15"/>
      <pageMargins left="0.7" right="0.7" top="0.78740157499999996" bottom="0.78740157499999996" header="0.3" footer="0.3"/>
      <pageSetup paperSize="9" scale="61" orientation="portrait" r:id="rId1"/>
      <headerFooter>
        <oddHeader xml:space="preserve">&amp;LNebenrechnung zur Aufteilung eines Grundstückskaufpreises
Ableitung des fiktiven Baujahrs&amp;R&amp;D  &amp;T
</oddHeader>
      </headerFooter>
    </customSheetView>
  </customSheetViews>
  <mergeCells count="6">
    <mergeCell ref="C5:D5"/>
    <mergeCell ref="C53:D71"/>
    <mergeCell ref="B3:G3"/>
    <mergeCell ref="C11:D11"/>
    <mergeCell ref="C49:C50"/>
    <mergeCell ref="C25:D25"/>
  </mergeCells>
  <conditionalFormatting sqref="D49:D50">
    <cfRule type="expression" dxfId="8" priority="3">
      <formula>$D$49&gt;$D$13</formula>
    </cfRule>
  </conditionalFormatting>
  <conditionalFormatting sqref="D17:D24">
    <cfRule type="cellIs" dxfId="7" priority="2" stopIfTrue="1" operator="equal">
      <formula>""</formula>
    </cfRule>
  </conditionalFormatting>
  <dataValidations count="1">
    <dataValidation type="list" allowBlank="1" showInputMessage="1" showErrorMessage="1" sqref="D17:D24">
      <formula1>"ja,nein,teilweise"</formula1>
    </dataValidation>
  </dataValidations>
  <pageMargins left="1.6929133858267718" right="0.70866141732283472" top="0.78740157480314965" bottom="0.78740157480314965" header="0.31496062992125984" footer="0.31496062992125984"/>
  <pageSetup paperSize="9" scale="86" fitToWidth="0" fitToHeight="0" orientation="portrait" horizontalDpi="4294967293" verticalDpi="4294967293" r:id="rId2"/>
  <headerFooter>
    <oddHeader>&amp;LNebenrechnung zur Aufteilung eines Grundstückskaufpreises
&amp;RAbleitung des fiktiven Baujahrs
&amp;D</oddHeader>
    <oddFooter>&amp;LKPA  1a - Kaufpreisaufteilung –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FFCC"/>
  </sheetPr>
  <dimension ref="B2:B18"/>
  <sheetViews>
    <sheetView showGridLines="0" showRowColHeaders="0" zoomScale="190" zoomScaleNormal="190" zoomScaleSheetLayoutView="145" workbookViewId="0"/>
  </sheetViews>
  <sheetFormatPr baseColWidth="10" defaultColWidth="11.5703125" defaultRowHeight="12.75" x14ac:dyDescent="0.2"/>
  <cols>
    <col min="1" max="1" width="2.7109375" style="87" customWidth="1"/>
    <col min="2" max="2" width="115.28515625" style="87" customWidth="1"/>
    <col min="3" max="16384" width="11.5703125" style="87"/>
  </cols>
  <sheetData>
    <row r="2" spans="2:2" s="88" customFormat="1" ht="66" customHeight="1" x14ac:dyDescent="0.35">
      <c r="B2" s="426" t="s">
        <v>270</v>
      </c>
    </row>
    <row r="3" spans="2:2" x14ac:dyDescent="0.2">
      <c r="B3" s="227" t="s">
        <v>238</v>
      </c>
    </row>
    <row r="4" spans="2:2" x14ac:dyDescent="0.2">
      <c r="B4" s="227" t="s">
        <v>93</v>
      </c>
    </row>
    <row r="5" spans="2:2" x14ac:dyDescent="0.2">
      <c r="B5" s="227" t="s">
        <v>94</v>
      </c>
    </row>
    <row r="6" spans="2:2" x14ac:dyDescent="0.2">
      <c r="B6" s="227" t="s">
        <v>95</v>
      </c>
    </row>
    <row r="7" spans="2:2" x14ac:dyDescent="0.2">
      <c r="B7" s="227" t="s">
        <v>96</v>
      </c>
    </row>
    <row r="8" spans="2:2" x14ac:dyDescent="0.2">
      <c r="B8" s="227" t="s">
        <v>323</v>
      </c>
    </row>
    <row r="9" spans="2:2" x14ac:dyDescent="0.2">
      <c r="B9" s="227" t="s">
        <v>165</v>
      </c>
    </row>
    <row r="10" spans="2:2" x14ac:dyDescent="0.2">
      <c r="B10" s="227" t="s">
        <v>166</v>
      </c>
    </row>
    <row r="11" spans="2:2" x14ac:dyDescent="0.2">
      <c r="B11" s="227" t="s">
        <v>97</v>
      </c>
    </row>
    <row r="12" spans="2:2" x14ac:dyDescent="0.2">
      <c r="B12" s="227" t="s">
        <v>98</v>
      </c>
    </row>
    <row r="13" spans="2:2" x14ac:dyDescent="0.2">
      <c r="B13" s="227" t="s">
        <v>240</v>
      </c>
    </row>
    <row r="14" spans="2:2" x14ac:dyDescent="0.2">
      <c r="B14" s="227" t="s">
        <v>241</v>
      </c>
    </row>
    <row r="15" spans="2:2" x14ac:dyDescent="0.2">
      <c r="B15" s="227" t="s">
        <v>164</v>
      </c>
    </row>
    <row r="16" spans="2:2" x14ac:dyDescent="0.2">
      <c r="B16" s="227" t="s">
        <v>99</v>
      </c>
    </row>
    <row r="17" spans="2:2" x14ac:dyDescent="0.2">
      <c r="B17" s="227" t="s">
        <v>100</v>
      </c>
    </row>
    <row r="18" spans="2:2" x14ac:dyDescent="0.2">
      <c r="B18" s="227" t="s">
        <v>167</v>
      </c>
    </row>
  </sheetData>
  <sheetProtection selectLockedCells="1"/>
  <customSheetViews>
    <customSheetView guid="{B8FE7C60-7D84-469C-BE86-7AE2888FE41C}" showGridLines="0" showRowCol="0" topLeftCell="A7">
      <pageMargins left="0.7" right="0.7" top="0.78740157499999996" bottom="0.78740157499999996" header="0.3" footer="0.3"/>
    </customSheetView>
  </customSheetViews>
  <hyperlinks>
    <hyperlink ref="B5" r:id="rId1" display="http://www.gutachterausschuss-berlin.de/"/>
    <hyperlink ref="B6" r:id="rId2" display="http://www.gutachterausschuss-bb.de/"/>
    <hyperlink ref="B7" r:id="rId3" display="http://www.gutachterausschuss.bremen.de/"/>
    <hyperlink ref="B8" r:id="rId4" display="Hamburg  www.geoprtal-hamburg.de"/>
    <hyperlink ref="B9" r:id="rId5"/>
    <hyperlink ref="B11" r:id="rId6" display="http://www.gag.niedersachsen.de/"/>
    <hyperlink ref="B12" r:id="rId7" display="http://www.boris.nrw.de/"/>
    <hyperlink ref="B13" r:id="rId8"/>
    <hyperlink ref="B14" r:id="rId9"/>
    <hyperlink ref="B16" r:id="rId10" display="http://www.lvermgeo.sachsen-anhalt.de/"/>
    <hyperlink ref="B17" r:id="rId11" display="http://www.gutachterausschuesse-sh.de/gutachter.html"/>
    <hyperlink ref="B18" r:id="rId12"/>
    <hyperlink ref="B4" r:id="rId13" display="http://www.boris-bayern.de/"/>
    <hyperlink ref="B15" r:id="rId14"/>
    <hyperlink ref="B3" r:id="rId15" display="www.zgg-bw.de"/>
    <hyperlink ref="B10" r:id="rId16" display="www.geoportal-mv.de"/>
  </hyperlinks>
  <pageMargins left="0.70866141732283472" right="0.70866141732283472" top="0.78740157480314965" bottom="0.78740157480314965" header="0.31496062992125984" footer="0.31496062992125984"/>
  <pageSetup paperSize="9" scale="110" orientation="landscape" r:id="rId17"/>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3" tint="-0.249977111117893"/>
  </sheetPr>
  <dimension ref="A1:Z54"/>
  <sheetViews>
    <sheetView showGridLines="0" showRowColHeaders="0" topLeftCell="A7" zoomScale="130" zoomScaleNormal="130" zoomScaleSheetLayoutView="115" workbookViewId="0">
      <selection activeCell="N12" sqref="N12 L28 N5"/>
    </sheetView>
  </sheetViews>
  <sheetFormatPr baseColWidth="10" defaultColWidth="13.42578125" defaultRowHeight="12.75" x14ac:dyDescent="0.2"/>
  <cols>
    <col min="1" max="1" width="6.28515625" style="308" customWidth="1"/>
    <col min="2" max="2" width="2.28515625" style="308" customWidth="1"/>
    <col min="3" max="3" width="3.42578125" style="308" customWidth="1"/>
    <col min="4" max="4" width="4.42578125" style="308" customWidth="1"/>
    <col min="5" max="5" width="5.42578125" style="308" customWidth="1"/>
    <col min="6" max="6" width="3" style="308" customWidth="1"/>
    <col min="7" max="7" width="13.28515625" style="308" customWidth="1"/>
    <col min="8" max="10" width="5.5703125" style="308" customWidth="1"/>
    <col min="11" max="11" width="6" style="308" customWidth="1"/>
    <col min="12" max="12" width="3.42578125" style="308" customWidth="1"/>
    <col min="13" max="13" width="8.28515625" style="308" customWidth="1"/>
    <col min="14" max="14" width="14.28515625" style="308" customWidth="1"/>
    <col min="15" max="15" width="2.5703125" style="308" customWidth="1"/>
    <col min="16" max="16" width="109.7109375" style="308" customWidth="1"/>
    <col min="17" max="16384" width="13.42578125" style="308"/>
  </cols>
  <sheetData>
    <row r="1" spans="1:26" s="307" customFormat="1" x14ac:dyDescent="0.2">
      <c r="A1" s="784" t="s">
        <v>230</v>
      </c>
      <c r="B1" s="784"/>
      <c r="C1" s="784"/>
      <c r="D1" s="784"/>
      <c r="E1" s="784"/>
    </row>
    <row r="2" spans="1:26" ht="16.899999999999999" customHeight="1" x14ac:dyDescent="0.2">
      <c r="A2" s="784"/>
      <c r="B2" s="784"/>
      <c r="C2" s="784"/>
      <c r="D2" s="784"/>
      <c r="E2" s="784"/>
      <c r="F2" s="306"/>
      <c r="G2" s="317" t="s">
        <v>233</v>
      </c>
      <c r="H2" s="306"/>
      <c r="I2" s="306"/>
      <c r="J2" s="306"/>
      <c r="K2" s="306"/>
      <c r="L2" s="306"/>
      <c r="M2" s="306"/>
      <c r="N2" s="306"/>
      <c r="O2" s="306"/>
      <c r="P2" s="307"/>
      <c r="Q2" s="307"/>
      <c r="R2" s="307"/>
      <c r="S2" s="307"/>
      <c r="T2" s="307"/>
      <c r="U2" s="307"/>
      <c r="V2" s="307"/>
      <c r="W2" s="307"/>
      <c r="X2" s="307"/>
      <c r="Y2" s="307"/>
      <c r="Z2" s="307"/>
    </row>
    <row r="3" spans="1:26" ht="6" customHeight="1" x14ac:dyDescent="0.2">
      <c r="A3" s="784"/>
      <c r="B3" s="784"/>
      <c r="C3" s="784"/>
      <c r="D3" s="784"/>
      <c r="E3" s="784"/>
      <c r="F3" s="331"/>
      <c r="G3" s="332"/>
      <c r="H3" s="331"/>
      <c r="I3" s="331"/>
      <c r="J3" s="331"/>
      <c r="K3" s="331"/>
      <c r="L3" s="331"/>
      <c r="M3" s="331"/>
      <c r="N3" s="331"/>
      <c r="O3" s="331"/>
      <c r="P3" s="307"/>
      <c r="Q3" s="307"/>
      <c r="R3" s="307"/>
      <c r="S3" s="307"/>
      <c r="T3" s="307"/>
      <c r="U3" s="307"/>
      <c r="V3" s="307"/>
      <c r="W3" s="307"/>
      <c r="X3" s="307"/>
      <c r="Y3" s="307"/>
      <c r="Z3" s="307"/>
    </row>
    <row r="4" spans="1:26" ht="16.899999999999999" customHeight="1" x14ac:dyDescent="0.2">
      <c r="A4" s="784"/>
      <c r="B4" s="784"/>
      <c r="C4" s="784"/>
      <c r="D4" s="784"/>
      <c r="E4" s="784"/>
      <c r="F4" s="306"/>
      <c r="G4" s="306"/>
      <c r="H4" s="306"/>
      <c r="I4" s="306"/>
      <c r="J4" s="306"/>
      <c r="K4" s="306"/>
      <c r="L4" s="306"/>
      <c r="M4" s="306"/>
      <c r="N4" s="306"/>
      <c r="O4" s="306"/>
      <c r="P4" s="307"/>
      <c r="Q4" s="307"/>
      <c r="R4" s="307"/>
      <c r="S4" s="307"/>
      <c r="T4" s="307"/>
      <c r="U4" s="307"/>
      <c r="V4" s="307"/>
      <c r="W4" s="307"/>
      <c r="X4" s="307"/>
      <c r="Y4" s="307"/>
      <c r="Z4" s="307"/>
    </row>
    <row r="5" spans="1:26" x14ac:dyDescent="0.2">
      <c r="A5" s="784"/>
      <c r="B5" s="784"/>
      <c r="C5" s="784"/>
      <c r="D5" s="784"/>
      <c r="E5" s="784"/>
      <c r="F5" s="309"/>
      <c r="G5" s="309" t="s">
        <v>229</v>
      </c>
      <c r="H5" s="309"/>
      <c r="I5" s="309"/>
      <c r="J5" s="309"/>
      <c r="K5" s="309"/>
      <c r="L5" s="309"/>
      <c r="M5" s="309"/>
      <c r="N5" s="334">
        <v>42430</v>
      </c>
      <c r="O5" s="310"/>
      <c r="P5" s="307"/>
      <c r="Q5" s="307"/>
      <c r="R5" s="307"/>
      <c r="S5" s="307"/>
      <c r="T5" s="307"/>
      <c r="U5" s="307"/>
      <c r="V5" s="307"/>
      <c r="W5" s="307"/>
      <c r="X5" s="307"/>
      <c r="Y5" s="307"/>
      <c r="Z5" s="307"/>
    </row>
    <row r="6" spans="1:26" x14ac:dyDescent="0.2">
      <c r="A6" s="784"/>
      <c r="B6" s="784"/>
      <c r="C6" s="784"/>
      <c r="D6" s="784"/>
      <c r="E6" s="784"/>
      <c r="F6" s="309"/>
      <c r="G6" s="309" t="s">
        <v>231</v>
      </c>
      <c r="H6" s="309"/>
      <c r="I6" s="309"/>
      <c r="J6" s="309"/>
      <c r="K6" s="309"/>
      <c r="L6" s="309"/>
      <c r="M6" s="309"/>
      <c r="N6" s="333" t="s">
        <v>227</v>
      </c>
      <c r="O6" s="310"/>
      <c r="P6" s="307"/>
      <c r="Q6" s="307"/>
      <c r="R6" s="307"/>
      <c r="S6" s="307"/>
      <c r="T6" s="307"/>
      <c r="U6" s="307"/>
      <c r="V6" s="307"/>
      <c r="W6" s="307"/>
      <c r="X6" s="307"/>
      <c r="Y6" s="307"/>
      <c r="Z6" s="307"/>
    </row>
    <row r="7" spans="1:26" x14ac:dyDescent="0.2">
      <c r="A7" s="784"/>
      <c r="B7" s="784"/>
      <c r="C7" s="784"/>
      <c r="D7" s="784"/>
      <c r="E7" s="784"/>
      <c r="F7" s="310"/>
      <c r="G7" s="310"/>
      <c r="H7" s="310"/>
      <c r="I7" s="310"/>
      <c r="J7" s="310"/>
      <c r="K7" s="310"/>
      <c r="L7" s="310"/>
      <c r="M7" s="310"/>
      <c r="N7" s="311"/>
      <c r="O7" s="310"/>
      <c r="P7" s="307"/>
      <c r="Q7" s="307"/>
      <c r="R7" s="307"/>
      <c r="S7" s="307"/>
      <c r="T7" s="307"/>
      <c r="U7" s="307"/>
      <c r="V7" s="307"/>
      <c r="W7" s="307"/>
      <c r="X7" s="307"/>
      <c r="Y7" s="307"/>
      <c r="Z7" s="307"/>
    </row>
    <row r="8" spans="1:26" x14ac:dyDescent="0.2">
      <c r="A8" s="784"/>
      <c r="B8" s="784"/>
      <c r="C8" s="784"/>
      <c r="D8" s="784"/>
      <c r="E8" s="784"/>
      <c r="F8" s="310"/>
      <c r="G8" s="312" t="str">
        <f>IF(N6="Ja","Das Objekt dient Wohnzwecken (Ja/Nein):","")</f>
        <v>Das Objekt dient Wohnzwecken (Ja/Nein):</v>
      </c>
      <c r="H8" s="312"/>
      <c r="I8" s="312"/>
      <c r="J8" s="312"/>
      <c r="K8" s="312"/>
      <c r="L8" s="312"/>
      <c r="M8" s="312"/>
      <c r="N8" s="334" t="s">
        <v>187</v>
      </c>
      <c r="O8" s="310"/>
      <c r="P8" s="307"/>
      <c r="Q8" s="307"/>
      <c r="R8" s="307"/>
      <c r="S8" s="307"/>
      <c r="T8" s="307"/>
      <c r="U8" s="307"/>
      <c r="V8" s="307"/>
      <c r="W8" s="307"/>
      <c r="X8" s="307"/>
      <c r="Y8" s="307"/>
      <c r="Z8" s="307"/>
    </row>
    <row r="9" spans="1:26" ht="2.4500000000000002" customHeight="1" x14ac:dyDescent="0.2">
      <c r="A9" s="784"/>
      <c r="B9" s="784"/>
      <c r="C9" s="784"/>
      <c r="D9" s="784"/>
      <c r="E9" s="784"/>
      <c r="F9" s="310"/>
      <c r="G9" s="312"/>
      <c r="H9" s="312"/>
      <c r="I9" s="312"/>
      <c r="J9" s="312"/>
      <c r="K9" s="312"/>
      <c r="L9" s="312"/>
      <c r="M9" s="312"/>
      <c r="N9" s="311"/>
      <c r="O9" s="310"/>
      <c r="P9" s="307"/>
      <c r="Q9" s="307"/>
      <c r="R9" s="307"/>
      <c r="S9" s="307"/>
      <c r="T9" s="307"/>
      <c r="U9" s="307"/>
      <c r="V9" s="307"/>
      <c r="W9" s="307"/>
      <c r="X9" s="307"/>
      <c r="Y9" s="307"/>
      <c r="Z9" s="307"/>
    </row>
    <row r="10" spans="1:26" x14ac:dyDescent="0.2">
      <c r="A10" s="784"/>
      <c r="B10" s="784"/>
      <c r="C10" s="784"/>
      <c r="D10" s="784"/>
      <c r="E10" s="784"/>
      <c r="F10" s="310"/>
      <c r="G10" s="310" t="str">
        <f>IF(AND(N8="Nein",N6="Ja"),"Datum des Bauantrags:","")</f>
        <v>Datum des Bauantrags:</v>
      </c>
      <c r="H10" s="310"/>
      <c r="I10" s="310"/>
      <c r="J10" s="310"/>
      <c r="K10" s="310"/>
      <c r="L10" s="310"/>
      <c r="M10" s="310"/>
      <c r="N10" s="334">
        <v>33970</v>
      </c>
      <c r="O10" s="310"/>
      <c r="P10" s="307"/>
      <c r="Q10" s="307"/>
      <c r="R10" s="307"/>
      <c r="S10" s="307"/>
      <c r="T10" s="307"/>
      <c r="U10" s="307"/>
      <c r="V10" s="307"/>
      <c r="W10" s="307"/>
      <c r="X10" s="307"/>
      <c r="Y10" s="307"/>
      <c r="Z10" s="307"/>
    </row>
    <row r="11" spans="1:26" x14ac:dyDescent="0.2">
      <c r="A11" s="784"/>
      <c r="B11" s="784"/>
      <c r="C11" s="784"/>
      <c r="D11" s="784"/>
      <c r="E11" s="784"/>
      <c r="F11" s="310"/>
      <c r="G11" s="310"/>
      <c r="H11" s="310"/>
      <c r="I11" s="310"/>
      <c r="J11" s="310"/>
      <c r="K11" s="310"/>
      <c r="L11" s="310"/>
      <c r="M11" s="310"/>
      <c r="N11" s="313"/>
      <c r="O11" s="310"/>
      <c r="P11" s="307"/>
      <c r="Q11" s="307"/>
      <c r="R11" s="307"/>
      <c r="S11" s="307"/>
      <c r="T11" s="307"/>
      <c r="U11" s="307"/>
      <c r="V11" s="307"/>
      <c r="W11" s="307"/>
      <c r="X11" s="307"/>
      <c r="Y11" s="307"/>
      <c r="Z11" s="307"/>
    </row>
    <row r="12" spans="1:26" x14ac:dyDescent="0.2">
      <c r="A12" s="784"/>
      <c r="B12" s="784"/>
      <c r="C12" s="784"/>
      <c r="D12" s="784"/>
      <c r="E12" s="784"/>
      <c r="F12" s="309"/>
      <c r="G12" s="309" t="s">
        <v>232</v>
      </c>
      <c r="H12" s="309"/>
      <c r="I12" s="309"/>
      <c r="J12" s="309"/>
      <c r="K12" s="309"/>
      <c r="L12" s="309"/>
      <c r="M12" s="309"/>
      <c r="N12" s="333" t="s">
        <v>187</v>
      </c>
      <c r="O12" s="310"/>
      <c r="P12" s="307"/>
      <c r="Q12" s="307"/>
      <c r="R12" s="307"/>
      <c r="S12" s="307"/>
      <c r="T12" s="307"/>
      <c r="U12" s="307"/>
      <c r="V12" s="307"/>
      <c r="W12" s="307"/>
      <c r="X12" s="307"/>
      <c r="Y12" s="307"/>
      <c r="Z12" s="307"/>
    </row>
    <row r="13" spans="1:26" x14ac:dyDescent="0.2">
      <c r="A13" s="784"/>
      <c r="B13" s="784"/>
      <c r="C13" s="784"/>
      <c r="D13" s="784"/>
      <c r="E13" s="784"/>
      <c r="F13" s="310"/>
      <c r="G13" s="309"/>
      <c r="H13" s="310"/>
      <c r="I13" s="310"/>
      <c r="J13" s="310"/>
      <c r="K13" s="310"/>
      <c r="L13" s="310"/>
      <c r="M13" s="310"/>
      <c r="N13" s="313"/>
      <c r="O13" s="310"/>
      <c r="P13" s="307"/>
      <c r="Q13" s="307"/>
      <c r="R13" s="307"/>
      <c r="S13" s="307"/>
      <c r="T13" s="307"/>
      <c r="U13" s="307"/>
      <c r="V13" s="307"/>
      <c r="W13" s="307"/>
      <c r="X13" s="307"/>
      <c r="Y13" s="307"/>
      <c r="Z13" s="307"/>
    </row>
    <row r="14" spans="1:26" ht="13.9" customHeight="1" thickBot="1" x14ac:dyDescent="0.25">
      <c r="A14" s="785"/>
      <c r="B14" s="785"/>
      <c r="C14" s="785"/>
      <c r="D14" s="785"/>
      <c r="E14" s="785"/>
      <c r="F14" s="314"/>
      <c r="G14" s="314"/>
      <c r="H14" s="314"/>
      <c r="I14" s="314"/>
      <c r="J14" s="314"/>
      <c r="K14" s="314"/>
      <c r="L14" s="314"/>
      <c r="M14" s="314"/>
      <c r="N14" s="315"/>
      <c r="O14" s="314"/>
      <c r="P14" s="307"/>
      <c r="Q14" s="307"/>
      <c r="R14" s="307"/>
      <c r="S14" s="307"/>
      <c r="T14" s="307"/>
      <c r="U14" s="307"/>
      <c r="V14" s="307"/>
      <c r="W14" s="307"/>
      <c r="X14" s="307"/>
      <c r="Y14" s="307"/>
      <c r="Z14" s="307"/>
    </row>
    <row r="15" spans="1:26" x14ac:dyDescent="0.2">
      <c r="A15" s="786" t="s">
        <v>228</v>
      </c>
      <c r="B15" s="316"/>
      <c r="C15" s="310"/>
      <c r="D15" s="310"/>
      <c r="E15" s="310"/>
      <c r="F15" s="310"/>
      <c r="G15" s="310"/>
      <c r="H15" s="310"/>
      <c r="I15" s="310"/>
      <c r="J15" s="310"/>
      <c r="K15" s="310"/>
      <c r="L15" s="310"/>
      <c r="M15" s="310"/>
      <c r="N15" s="310"/>
      <c r="O15" s="316"/>
      <c r="P15" s="307"/>
      <c r="Q15" s="307"/>
      <c r="R15" s="307"/>
      <c r="S15" s="307"/>
      <c r="T15" s="307"/>
      <c r="U15" s="307"/>
      <c r="V15" s="307"/>
      <c r="W15" s="307"/>
      <c r="X15" s="307"/>
      <c r="Y15" s="307"/>
      <c r="Z15" s="307"/>
    </row>
    <row r="16" spans="1:26" ht="12.6" customHeight="1" x14ac:dyDescent="0.2">
      <c r="A16" s="786"/>
      <c r="B16" s="316"/>
      <c r="C16" s="317" t="s">
        <v>226</v>
      </c>
      <c r="D16" s="318"/>
      <c r="E16" s="318"/>
      <c r="F16" s="318"/>
      <c r="G16" s="805"/>
      <c r="H16" s="806"/>
      <c r="I16" s="807"/>
      <c r="J16" s="318"/>
      <c r="K16" s="318"/>
      <c r="L16" s="318"/>
      <c r="M16" s="318"/>
      <c r="N16" s="318"/>
      <c r="O16" s="316"/>
      <c r="P16" s="307"/>
      <c r="Q16" s="307"/>
      <c r="R16" s="307"/>
      <c r="S16" s="307"/>
      <c r="T16" s="307"/>
      <c r="U16" s="307"/>
      <c r="V16" s="307"/>
      <c r="W16" s="307"/>
      <c r="X16" s="307"/>
      <c r="Y16" s="307"/>
      <c r="Z16" s="307"/>
    </row>
    <row r="17" spans="1:26" ht="6" customHeight="1" x14ac:dyDescent="0.2">
      <c r="A17" s="786"/>
      <c r="B17" s="316"/>
      <c r="C17" s="317"/>
      <c r="D17" s="318"/>
      <c r="E17" s="318"/>
      <c r="F17" s="318"/>
      <c r="G17" s="319"/>
      <c r="H17" s="319"/>
      <c r="I17" s="318"/>
      <c r="J17" s="318"/>
      <c r="K17" s="318"/>
      <c r="L17" s="318"/>
      <c r="M17" s="318"/>
      <c r="N17" s="318"/>
      <c r="O17" s="316"/>
      <c r="P17" s="307"/>
      <c r="Q17" s="307"/>
      <c r="R17" s="307"/>
      <c r="S17" s="307"/>
      <c r="T17" s="307"/>
      <c r="U17" s="307"/>
      <c r="V17" s="307"/>
      <c r="W17" s="307"/>
      <c r="X17" s="307"/>
      <c r="Y17" s="307"/>
      <c r="Z17" s="307"/>
    </row>
    <row r="18" spans="1:26" ht="12.6" customHeight="1" x14ac:dyDescent="0.2">
      <c r="A18" s="786"/>
      <c r="B18" s="316"/>
      <c r="C18" s="317" t="s">
        <v>183</v>
      </c>
      <c r="D18" s="320"/>
      <c r="E18" s="802"/>
      <c r="F18" s="803"/>
      <c r="G18" s="803"/>
      <c r="H18" s="803"/>
      <c r="I18" s="804"/>
      <c r="J18" s="310"/>
      <c r="K18" s="310"/>
      <c r="L18" s="310"/>
      <c r="M18" s="310"/>
      <c r="N18" s="310"/>
      <c r="O18" s="316"/>
      <c r="P18" s="290"/>
      <c r="Q18" s="307"/>
      <c r="R18" s="307"/>
      <c r="S18" s="307"/>
      <c r="T18" s="307"/>
      <c r="U18" s="307"/>
      <c r="V18" s="307"/>
      <c r="W18" s="307"/>
      <c r="X18" s="307"/>
      <c r="Y18" s="307"/>
      <c r="Z18" s="307"/>
    </row>
    <row r="19" spans="1:26" ht="18" x14ac:dyDescent="0.2">
      <c r="A19" s="786"/>
      <c r="B19" s="316"/>
      <c r="C19" s="318"/>
      <c r="D19" s="318"/>
      <c r="E19" s="318"/>
      <c r="F19" s="318"/>
      <c r="G19" s="318"/>
      <c r="H19" s="318"/>
      <c r="I19" s="318"/>
      <c r="J19" s="318"/>
      <c r="K19" s="318"/>
      <c r="L19" s="318"/>
      <c r="M19" s="318"/>
      <c r="N19" s="318"/>
      <c r="O19" s="316"/>
      <c r="P19" s="307"/>
      <c r="Q19" s="307"/>
      <c r="R19" s="307"/>
      <c r="S19" s="307"/>
      <c r="T19" s="307"/>
      <c r="U19" s="307"/>
      <c r="V19" s="307"/>
      <c r="W19" s="307"/>
      <c r="X19" s="307"/>
      <c r="Y19" s="307"/>
      <c r="Z19" s="307"/>
    </row>
    <row r="20" spans="1:26" x14ac:dyDescent="0.2">
      <c r="A20" s="786"/>
      <c r="B20" s="316"/>
      <c r="C20" s="310"/>
      <c r="D20" s="310"/>
      <c r="E20" s="310"/>
      <c r="F20" s="310"/>
      <c r="G20" s="310"/>
      <c r="H20" s="310"/>
      <c r="I20" s="310"/>
      <c r="J20" s="310"/>
      <c r="K20" s="310"/>
      <c r="L20" s="310"/>
      <c r="M20" s="310"/>
      <c r="N20" s="310"/>
      <c r="O20" s="316"/>
      <c r="P20" s="307"/>
      <c r="Q20" s="307"/>
      <c r="R20" s="307"/>
      <c r="S20" s="307"/>
      <c r="T20" s="307"/>
      <c r="U20" s="307"/>
      <c r="V20" s="307"/>
      <c r="W20" s="307"/>
      <c r="X20" s="307"/>
      <c r="Y20" s="307"/>
      <c r="Z20" s="307"/>
    </row>
    <row r="21" spans="1:26" ht="12.6" customHeight="1" x14ac:dyDescent="0.25">
      <c r="A21" s="786"/>
      <c r="B21" s="316"/>
      <c r="C21" s="788" t="s">
        <v>184</v>
      </c>
      <c r="D21" s="788"/>
      <c r="E21" s="788"/>
      <c r="F21" s="788"/>
      <c r="G21" s="789"/>
      <c r="H21" s="790"/>
      <c r="I21" s="791"/>
      <c r="J21" s="321" t="s">
        <v>185</v>
      </c>
      <c r="K21" s="310"/>
      <c r="L21" s="310"/>
      <c r="M21" s="802"/>
      <c r="N21" s="804"/>
      <c r="O21" s="316"/>
      <c r="P21" s="307"/>
      <c r="Q21" s="307"/>
      <c r="R21" s="307"/>
      <c r="S21" s="307"/>
      <c r="T21" s="307"/>
      <c r="U21" s="307"/>
      <c r="V21" s="307"/>
      <c r="W21" s="307"/>
      <c r="X21" s="307"/>
      <c r="Y21" s="307"/>
      <c r="Z21" s="307"/>
    </row>
    <row r="22" spans="1:26" x14ac:dyDescent="0.2">
      <c r="A22" s="786"/>
      <c r="B22" s="316"/>
      <c r="C22" s="310"/>
      <c r="D22" s="310"/>
      <c r="E22" s="310"/>
      <c r="F22" s="310"/>
      <c r="G22" s="310"/>
      <c r="H22" s="310"/>
      <c r="I22" s="310"/>
      <c r="J22" s="322"/>
      <c r="K22" s="310"/>
      <c r="L22" s="310"/>
      <c r="M22" s="310"/>
      <c r="N22" s="310"/>
      <c r="O22" s="316"/>
      <c r="P22" s="307"/>
      <c r="Q22" s="307"/>
      <c r="R22" s="307"/>
      <c r="S22" s="307"/>
      <c r="T22" s="307"/>
      <c r="U22" s="307"/>
      <c r="V22" s="307"/>
      <c r="W22" s="307"/>
      <c r="X22" s="307"/>
      <c r="Y22" s="307"/>
      <c r="Z22" s="307"/>
    </row>
    <row r="23" spans="1:26" ht="30.2" customHeight="1" x14ac:dyDescent="0.2">
      <c r="A23" s="786"/>
      <c r="B23" s="316"/>
      <c r="C23" s="792" t="s">
        <v>186</v>
      </c>
      <c r="D23" s="792"/>
      <c r="E23" s="792"/>
      <c r="F23" s="792"/>
      <c r="G23" s="792"/>
      <c r="H23" s="792"/>
      <c r="I23" s="792"/>
      <c r="J23" s="792"/>
      <c r="K23" s="792"/>
      <c r="L23" s="792"/>
      <c r="M23" s="792"/>
      <c r="N23" s="792"/>
      <c r="O23" s="316"/>
      <c r="P23" s="307"/>
      <c r="Q23" s="307"/>
      <c r="R23" s="307"/>
      <c r="S23" s="307"/>
      <c r="T23" s="307"/>
      <c r="U23" s="307"/>
      <c r="V23" s="307"/>
      <c r="W23" s="307"/>
      <c r="X23" s="307"/>
      <c r="Y23" s="307"/>
      <c r="Z23" s="307"/>
    </row>
    <row r="24" spans="1:26" x14ac:dyDescent="0.2">
      <c r="A24" s="786"/>
      <c r="B24" s="316"/>
      <c r="C24" s="310"/>
      <c r="D24" s="310"/>
      <c r="E24" s="310"/>
      <c r="F24" s="310"/>
      <c r="G24" s="310"/>
      <c r="H24" s="310"/>
      <c r="I24" s="310"/>
      <c r="J24" s="310"/>
      <c r="K24" s="310"/>
      <c r="L24" s="310"/>
      <c r="M24" s="310"/>
      <c r="N24" s="310"/>
      <c r="O24" s="316"/>
      <c r="P24" s="307"/>
      <c r="Q24" s="307"/>
      <c r="R24" s="307"/>
      <c r="S24" s="307"/>
      <c r="T24" s="307"/>
      <c r="U24" s="307"/>
      <c r="V24" s="307"/>
      <c r="W24" s="307"/>
      <c r="X24" s="307"/>
      <c r="Y24" s="307"/>
      <c r="Z24" s="307"/>
    </row>
    <row r="25" spans="1:26" x14ac:dyDescent="0.2">
      <c r="A25" s="786"/>
      <c r="B25" s="316"/>
      <c r="C25" s="310" t="str">
        <f>IF(OR(N12="Ja",N5=""),"","Der Jahresbetrag der AfA beläuft sich auf")</f>
        <v>Der Jahresbetrag der AfA beläuft sich auf</v>
      </c>
      <c r="D25" s="310"/>
      <c r="E25" s="310"/>
      <c r="F25" s="310"/>
      <c r="G25" s="310"/>
      <c r="H25" s="310"/>
      <c r="I25" s="323">
        <f>IF(OR(N12="Ja",N5=""),"",IF(AND(N6="Ja",N8="Nein",N10&gt;31137),0.03,IF(KPA!G11&lt;1925,0.025,0.02)))</f>
        <v>0.03</v>
      </c>
      <c r="J25" s="310" t="str">
        <f>IF(OR(N12="Ja",N5=""),"","von...")</f>
        <v>von...</v>
      </c>
      <c r="K25" s="310"/>
      <c r="L25" s="310"/>
      <c r="M25" s="310"/>
      <c r="N25" s="324" t="e">
        <f>IF(OR(N12="Ja",N5=""),"",KPA!J117)</f>
        <v>#N/A</v>
      </c>
      <c r="O25" s="316"/>
      <c r="P25" s="307"/>
      <c r="Q25" s="307"/>
      <c r="R25" s="307"/>
      <c r="S25" s="307"/>
      <c r="T25" s="307"/>
      <c r="U25" s="307"/>
      <c r="V25" s="307"/>
      <c r="W25" s="307"/>
      <c r="X25" s="307"/>
      <c r="Y25" s="307"/>
      <c r="Z25" s="307"/>
    </row>
    <row r="26" spans="1:26" x14ac:dyDescent="0.2">
      <c r="A26" s="786"/>
      <c r="B26" s="316"/>
      <c r="C26" s="310"/>
      <c r="D26" s="310"/>
      <c r="E26" s="310"/>
      <c r="F26" s="310"/>
      <c r="G26" s="310"/>
      <c r="H26" s="310"/>
      <c r="I26" s="310"/>
      <c r="J26" s="310"/>
      <c r="K26" s="310"/>
      <c r="L26" s="310"/>
      <c r="M26" s="325" t="str">
        <f>IF(OR(N12="Ja",N5=""),"","=")</f>
        <v>=</v>
      </c>
      <c r="N26" s="324" t="e">
        <f>IF(OR(N12="Ja",N5=""),"",ROUNDUP(I25*N25,0))</f>
        <v>#N/A</v>
      </c>
      <c r="O26" s="316"/>
      <c r="P26" s="307"/>
      <c r="Q26" s="307"/>
      <c r="R26" s="307"/>
      <c r="S26" s="307"/>
      <c r="T26" s="307"/>
      <c r="U26" s="307"/>
      <c r="V26" s="307"/>
      <c r="W26" s="307"/>
      <c r="X26" s="307"/>
      <c r="Y26" s="307"/>
      <c r="Z26" s="307"/>
    </row>
    <row r="27" spans="1:26" x14ac:dyDescent="0.2">
      <c r="A27" s="786"/>
      <c r="B27" s="316"/>
      <c r="C27" s="310"/>
      <c r="D27" s="310"/>
      <c r="E27" s="310"/>
      <c r="F27" s="310"/>
      <c r="G27" s="310"/>
      <c r="H27" s="310"/>
      <c r="I27" s="310"/>
      <c r="J27" s="310"/>
      <c r="K27" s="310"/>
      <c r="L27" s="311"/>
      <c r="M27" s="311"/>
      <c r="N27" s="310"/>
      <c r="O27" s="316"/>
      <c r="P27" s="326"/>
      <c r="Q27" s="307"/>
      <c r="R27" s="307"/>
      <c r="S27" s="307"/>
      <c r="T27" s="307"/>
      <c r="U27" s="307"/>
      <c r="V27" s="307"/>
      <c r="W27" s="307"/>
      <c r="X27" s="307"/>
      <c r="Y27" s="307"/>
      <c r="Z27" s="307"/>
    </row>
    <row r="28" spans="1:26" x14ac:dyDescent="0.2">
      <c r="A28" s="786"/>
      <c r="B28" s="316"/>
      <c r="C28" s="310" t="str">
        <f>IF(N12="Ja","",IF(MONTH(N5)&gt;1,"Für den Veranlagungszeitraum",""))</f>
        <v>Für den Veranlagungszeitraum</v>
      </c>
      <c r="D28" s="310"/>
      <c r="E28" s="310"/>
      <c r="F28" s="310"/>
      <c r="G28" s="327"/>
      <c r="H28" s="328">
        <f>IF(OR(N12="Ja",N5=""),"",IF(MONTH(N5)&gt;1,N5,""))</f>
        <v>42430</v>
      </c>
      <c r="I28" s="310" t="str">
        <f>IF(N12="Ja","",IF(MONTH(N5)&gt;1,"sind zeitanteilig für",""))</f>
        <v>sind zeitanteilig für</v>
      </c>
      <c r="J28" s="310"/>
      <c r="K28" s="310"/>
      <c r="L28" s="310">
        <f>IF(N12="Ja","",12-(MONTH(N5)-1))</f>
        <v>10</v>
      </c>
      <c r="M28" s="310" t="str">
        <f>IF(N12="Ja","",IF(L28&gt;1,IF(MONTH(N5)&gt;1,"Monate ",""),IF(MONTH(N5)&gt;1,"Monat","")))</f>
        <v xml:space="preserve">Monate </v>
      </c>
      <c r="N28" s="324" t="e">
        <f>IF(OR(N12="Ja",N5=""),"",IF(MONTH(N5)&gt;1,ROUNDUP(I25*N25*L28/12,0),""))</f>
        <v>#N/A</v>
      </c>
      <c r="O28" s="316"/>
      <c r="P28" s="307"/>
      <c r="Q28" s="307"/>
      <c r="R28" s="307"/>
      <c r="S28" s="307"/>
      <c r="T28" s="307"/>
      <c r="U28" s="307"/>
      <c r="V28" s="307"/>
      <c r="W28" s="307"/>
      <c r="X28" s="307"/>
      <c r="Y28" s="307"/>
      <c r="Z28" s="307"/>
    </row>
    <row r="29" spans="1:26" s="329" customFormat="1" x14ac:dyDescent="0.2">
      <c r="A29" s="786"/>
      <c r="B29" s="316"/>
      <c r="C29" s="310" t="str">
        <f>IF(N12="Ja","",IF(MONTH(N5)&gt;1,"anzusetzen.",""))</f>
        <v>anzusetzen.</v>
      </c>
      <c r="D29" s="310"/>
      <c r="E29" s="310"/>
      <c r="F29" s="310"/>
      <c r="G29" s="327"/>
      <c r="H29" s="328"/>
      <c r="I29" s="310"/>
      <c r="J29" s="310"/>
      <c r="K29" s="310"/>
      <c r="L29" s="310"/>
      <c r="M29" s="310"/>
      <c r="N29" s="324"/>
      <c r="O29" s="316"/>
      <c r="P29" s="307"/>
      <c r="Q29" s="307"/>
      <c r="R29" s="307"/>
      <c r="S29" s="307"/>
      <c r="T29" s="307"/>
      <c r="U29" s="307"/>
      <c r="V29" s="307"/>
      <c r="W29" s="307"/>
      <c r="X29" s="307"/>
      <c r="Y29" s="307"/>
      <c r="Z29" s="307"/>
    </row>
    <row r="30" spans="1:26" x14ac:dyDescent="0.2">
      <c r="A30" s="786"/>
      <c r="B30" s="316"/>
      <c r="C30" s="330"/>
      <c r="D30" s="310"/>
      <c r="E30" s="310"/>
      <c r="F30" s="310"/>
      <c r="G30" s="310"/>
      <c r="H30" s="310"/>
      <c r="I30" s="310"/>
      <c r="J30" s="310"/>
      <c r="K30" s="310"/>
      <c r="L30" s="310"/>
      <c r="M30" s="310"/>
      <c r="N30" s="310"/>
      <c r="O30" s="316"/>
      <c r="P30" s="307"/>
      <c r="Q30" s="307"/>
      <c r="R30" s="307"/>
      <c r="S30" s="307"/>
      <c r="T30" s="307"/>
      <c r="U30" s="307"/>
      <c r="V30" s="307"/>
      <c r="W30" s="307"/>
      <c r="X30" s="307"/>
      <c r="Y30" s="307"/>
      <c r="Z30" s="307"/>
    </row>
    <row r="31" spans="1:26" x14ac:dyDescent="0.2">
      <c r="A31" s="786"/>
      <c r="B31" s="316"/>
      <c r="C31" s="793"/>
      <c r="D31" s="794"/>
      <c r="E31" s="794"/>
      <c r="F31" s="794"/>
      <c r="G31" s="794"/>
      <c r="H31" s="794"/>
      <c r="I31" s="794"/>
      <c r="J31" s="794"/>
      <c r="K31" s="794"/>
      <c r="L31" s="794"/>
      <c r="M31" s="794"/>
      <c r="N31" s="795"/>
      <c r="O31" s="316"/>
      <c r="P31" s="307"/>
      <c r="Q31" s="307"/>
      <c r="R31" s="307"/>
      <c r="S31" s="307"/>
      <c r="T31" s="307"/>
      <c r="U31" s="307"/>
      <c r="V31" s="307"/>
      <c r="W31" s="307"/>
      <c r="X31" s="307"/>
      <c r="Y31" s="307"/>
      <c r="Z31" s="307"/>
    </row>
    <row r="32" spans="1:26" x14ac:dyDescent="0.2">
      <c r="A32" s="786"/>
      <c r="B32" s="316"/>
      <c r="C32" s="796"/>
      <c r="D32" s="797"/>
      <c r="E32" s="797"/>
      <c r="F32" s="797"/>
      <c r="G32" s="797"/>
      <c r="H32" s="797"/>
      <c r="I32" s="797"/>
      <c r="J32" s="797"/>
      <c r="K32" s="797"/>
      <c r="L32" s="797"/>
      <c r="M32" s="797"/>
      <c r="N32" s="798"/>
      <c r="O32" s="316"/>
      <c r="P32" s="307"/>
      <c r="Q32" s="307"/>
      <c r="R32" s="307"/>
      <c r="S32" s="307"/>
      <c r="T32" s="307"/>
      <c r="U32" s="307"/>
      <c r="V32" s="307"/>
      <c r="W32" s="307"/>
      <c r="X32" s="307"/>
      <c r="Y32" s="307"/>
      <c r="Z32" s="307"/>
    </row>
    <row r="33" spans="1:26" x14ac:dyDescent="0.2">
      <c r="A33" s="786"/>
      <c r="B33" s="316"/>
      <c r="C33" s="796"/>
      <c r="D33" s="797"/>
      <c r="E33" s="797"/>
      <c r="F33" s="797"/>
      <c r="G33" s="797"/>
      <c r="H33" s="797"/>
      <c r="I33" s="797"/>
      <c r="J33" s="797"/>
      <c r="K33" s="797"/>
      <c r="L33" s="797"/>
      <c r="M33" s="797"/>
      <c r="N33" s="798"/>
      <c r="O33" s="316"/>
      <c r="P33" s="307"/>
      <c r="Q33" s="307"/>
      <c r="R33" s="307"/>
      <c r="S33" s="307"/>
      <c r="T33" s="307"/>
      <c r="U33" s="307"/>
      <c r="V33" s="307"/>
      <c r="W33" s="307"/>
      <c r="X33" s="307"/>
      <c r="Y33" s="307"/>
      <c r="Z33" s="307"/>
    </row>
    <row r="34" spans="1:26" x14ac:dyDescent="0.2">
      <c r="A34" s="786"/>
      <c r="B34" s="316"/>
      <c r="C34" s="796"/>
      <c r="D34" s="797"/>
      <c r="E34" s="797"/>
      <c r="F34" s="797"/>
      <c r="G34" s="797"/>
      <c r="H34" s="797"/>
      <c r="I34" s="797"/>
      <c r="J34" s="797"/>
      <c r="K34" s="797"/>
      <c r="L34" s="797"/>
      <c r="M34" s="797"/>
      <c r="N34" s="798"/>
      <c r="O34" s="316"/>
      <c r="P34" s="307"/>
      <c r="Q34" s="307"/>
      <c r="R34" s="307"/>
      <c r="S34" s="307"/>
      <c r="T34" s="307"/>
      <c r="U34" s="307"/>
      <c r="V34" s="307"/>
      <c r="W34" s="307"/>
      <c r="X34" s="307"/>
      <c r="Y34" s="307"/>
      <c r="Z34" s="307"/>
    </row>
    <row r="35" spans="1:26" x14ac:dyDescent="0.2">
      <c r="A35" s="786"/>
      <c r="B35" s="316"/>
      <c r="C35" s="796"/>
      <c r="D35" s="797"/>
      <c r="E35" s="797"/>
      <c r="F35" s="797"/>
      <c r="G35" s="797"/>
      <c r="H35" s="797"/>
      <c r="I35" s="797"/>
      <c r="J35" s="797"/>
      <c r="K35" s="797"/>
      <c r="L35" s="797"/>
      <c r="M35" s="797"/>
      <c r="N35" s="798"/>
      <c r="O35" s="316"/>
      <c r="P35" s="307"/>
      <c r="Q35" s="307"/>
      <c r="R35" s="307"/>
      <c r="S35" s="307"/>
      <c r="T35" s="307"/>
      <c r="U35" s="307"/>
      <c r="V35" s="307"/>
      <c r="W35" s="307"/>
      <c r="X35" s="307"/>
      <c r="Y35" s="307"/>
      <c r="Z35" s="307"/>
    </row>
    <row r="36" spans="1:26" x14ac:dyDescent="0.2">
      <c r="A36" s="786"/>
      <c r="B36" s="316"/>
      <c r="C36" s="796"/>
      <c r="D36" s="797"/>
      <c r="E36" s="797"/>
      <c r="F36" s="797"/>
      <c r="G36" s="797"/>
      <c r="H36" s="797"/>
      <c r="I36" s="797"/>
      <c r="J36" s="797"/>
      <c r="K36" s="797"/>
      <c r="L36" s="797"/>
      <c r="M36" s="797"/>
      <c r="N36" s="798"/>
      <c r="O36" s="316"/>
      <c r="P36" s="307"/>
      <c r="Q36" s="307"/>
      <c r="R36" s="307"/>
      <c r="S36" s="307"/>
      <c r="T36" s="307"/>
      <c r="U36" s="307"/>
      <c r="V36" s="307"/>
      <c r="W36" s="307"/>
      <c r="X36" s="307"/>
      <c r="Y36" s="307"/>
      <c r="Z36" s="307"/>
    </row>
    <row r="37" spans="1:26" x14ac:dyDescent="0.2">
      <c r="A37" s="786"/>
      <c r="B37" s="316"/>
      <c r="C37" s="796"/>
      <c r="D37" s="797"/>
      <c r="E37" s="797"/>
      <c r="F37" s="797"/>
      <c r="G37" s="797"/>
      <c r="H37" s="797"/>
      <c r="I37" s="797"/>
      <c r="J37" s="797"/>
      <c r="K37" s="797"/>
      <c r="L37" s="797"/>
      <c r="M37" s="797"/>
      <c r="N37" s="798"/>
      <c r="O37" s="316"/>
      <c r="P37" s="307"/>
      <c r="Q37" s="307"/>
      <c r="R37" s="307"/>
      <c r="S37" s="307"/>
      <c r="T37" s="307"/>
      <c r="U37" s="307"/>
      <c r="V37" s="307"/>
      <c r="W37" s="307"/>
      <c r="X37" s="307"/>
      <c r="Y37" s="307"/>
      <c r="Z37" s="307"/>
    </row>
    <row r="38" spans="1:26" x14ac:dyDescent="0.2">
      <c r="A38" s="786"/>
      <c r="B38" s="316"/>
      <c r="C38" s="796"/>
      <c r="D38" s="797"/>
      <c r="E38" s="797"/>
      <c r="F38" s="797"/>
      <c r="G38" s="797"/>
      <c r="H38" s="797"/>
      <c r="I38" s="797"/>
      <c r="J38" s="797"/>
      <c r="K38" s="797"/>
      <c r="L38" s="797"/>
      <c r="M38" s="797"/>
      <c r="N38" s="798"/>
      <c r="O38" s="316"/>
      <c r="P38" s="307"/>
      <c r="Q38" s="307"/>
      <c r="R38" s="307"/>
      <c r="S38" s="307"/>
      <c r="T38" s="307"/>
      <c r="U38" s="307"/>
      <c r="V38" s="307"/>
      <c r="W38" s="307"/>
      <c r="X38" s="307"/>
      <c r="Y38" s="307"/>
      <c r="Z38" s="307"/>
    </row>
    <row r="39" spans="1:26" x14ac:dyDescent="0.2">
      <c r="A39" s="786"/>
      <c r="B39" s="316"/>
      <c r="C39" s="796"/>
      <c r="D39" s="797"/>
      <c r="E39" s="797"/>
      <c r="F39" s="797"/>
      <c r="G39" s="797"/>
      <c r="H39" s="797"/>
      <c r="I39" s="797"/>
      <c r="J39" s="797"/>
      <c r="K39" s="797"/>
      <c r="L39" s="797"/>
      <c r="M39" s="797"/>
      <c r="N39" s="798"/>
      <c r="O39" s="316"/>
      <c r="P39" s="307"/>
      <c r="Q39" s="307"/>
      <c r="R39" s="307"/>
      <c r="S39" s="307"/>
      <c r="T39" s="307"/>
      <c r="U39" s="307"/>
      <c r="V39" s="307"/>
      <c r="W39" s="307"/>
      <c r="X39" s="307"/>
      <c r="Y39" s="307"/>
      <c r="Z39" s="307"/>
    </row>
    <row r="40" spans="1:26" x14ac:dyDescent="0.2">
      <c r="A40" s="786"/>
      <c r="B40" s="316"/>
      <c r="C40" s="796"/>
      <c r="D40" s="797"/>
      <c r="E40" s="797"/>
      <c r="F40" s="797"/>
      <c r="G40" s="797"/>
      <c r="H40" s="797"/>
      <c r="I40" s="797"/>
      <c r="J40" s="797"/>
      <c r="K40" s="797"/>
      <c r="L40" s="797"/>
      <c r="M40" s="797"/>
      <c r="N40" s="798"/>
      <c r="O40" s="316"/>
      <c r="P40" s="307"/>
      <c r="Q40" s="307"/>
      <c r="R40" s="307"/>
      <c r="S40" s="307"/>
      <c r="T40" s="307"/>
      <c r="U40" s="307"/>
      <c r="V40" s="307"/>
      <c r="W40" s="307"/>
      <c r="X40" s="307"/>
      <c r="Y40" s="307"/>
      <c r="Z40" s="307"/>
    </row>
    <row r="41" spans="1:26" x14ac:dyDescent="0.2">
      <c r="A41" s="786"/>
      <c r="B41" s="316"/>
      <c r="C41" s="796"/>
      <c r="D41" s="797"/>
      <c r="E41" s="797"/>
      <c r="F41" s="797"/>
      <c r="G41" s="797"/>
      <c r="H41" s="797"/>
      <c r="I41" s="797"/>
      <c r="J41" s="797"/>
      <c r="K41" s="797"/>
      <c r="L41" s="797"/>
      <c r="M41" s="797"/>
      <c r="N41" s="798"/>
      <c r="O41" s="316"/>
      <c r="P41" s="307"/>
      <c r="Q41" s="307"/>
      <c r="R41" s="307"/>
      <c r="S41" s="307"/>
      <c r="T41" s="307"/>
      <c r="U41" s="307"/>
      <c r="V41" s="307"/>
      <c r="W41" s="307"/>
      <c r="X41" s="307"/>
      <c r="Y41" s="307"/>
      <c r="Z41" s="307"/>
    </row>
    <row r="42" spans="1:26" x14ac:dyDescent="0.2">
      <c r="A42" s="786"/>
      <c r="B42" s="316"/>
      <c r="C42" s="796"/>
      <c r="D42" s="797"/>
      <c r="E42" s="797"/>
      <c r="F42" s="797"/>
      <c r="G42" s="797"/>
      <c r="H42" s="797"/>
      <c r="I42" s="797"/>
      <c r="J42" s="797"/>
      <c r="K42" s="797"/>
      <c r="L42" s="797"/>
      <c r="M42" s="797"/>
      <c r="N42" s="798"/>
      <c r="O42" s="316"/>
      <c r="P42" s="307"/>
      <c r="Q42" s="307"/>
      <c r="R42" s="307"/>
      <c r="S42" s="307"/>
      <c r="T42" s="307"/>
      <c r="U42" s="307"/>
      <c r="V42" s="307"/>
      <c r="W42" s="307"/>
      <c r="X42" s="307"/>
      <c r="Y42" s="307"/>
      <c r="Z42" s="307"/>
    </row>
    <row r="43" spans="1:26" x14ac:dyDescent="0.2">
      <c r="A43" s="786"/>
      <c r="B43" s="316"/>
      <c r="C43" s="796"/>
      <c r="D43" s="797"/>
      <c r="E43" s="797"/>
      <c r="F43" s="797"/>
      <c r="G43" s="797"/>
      <c r="H43" s="797"/>
      <c r="I43" s="797"/>
      <c r="J43" s="797"/>
      <c r="K43" s="797"/>
      <c r="L43" s="797"/>
      <c r="M43" s="797"/>
      <c r="N43" s="798"/>
      <c r="O43" s="316"/>
      <c r="P43" s="307"/>
      <c r="Q43" s="307"/>
      <c r="R43" s="307"/>
      <c r="S43" s="307"/>
      <c r="T43" s="307"/>
      <c r="U43" s="307"/>
      <c r="V43" s="307"/>
      <c r="W43" s="307"/>
      <c r="X43" s="307"/>
      <c r="Y43" s="307"/>
      <c r="Z43" s="307"/>
    </row>
    <row r="44" spans="1:26" x14ac:dyDescent="0.2">
      <c r="A44" s="786"/>
      <c r="B44" s="316"/>
      <c r="C44" s="796"/>
      <c r="D44" s="797"/>
      <c r="E44" s="797"/>
      <c r="F44" s="797"/>
      <c r="G44" s="797"/>
      <c r="H44" s="797"/>
      <c r="I44" s="797"/>
      <c r="J44" s="797"/>
      <c r="K44" s="797"/>
      <c r="L44" s="797"/>
      <c r="M44" s="797"/>
      <c r="N44" s="798"/>
      <c r="O44" s="316"/>
      <c r="P44" s="307"/>
      <c r="Q44" s="307"/>
      <c r="R44" s="307"/>
      <c r="S44" s="307"/>
      <c r="T44" s="307"/>
      <c r="U44" s="307"/>
      <c r="V44" s="307"/>
      <c r="W44" s="307"/>
      <c r="X44" s="307"/>
      <c r="Y44" s="307"/>
      <c r="Z44" s="307"/>
    </row>
    <row r="45" spans="1:26" x14ac:dyDescent="0.2">
      <c r="A45" s="786"/>
      <c r="B45" s="316"/>
      <c r="C45" s="796"/>
      <c r="D45" s="797"/>
      <c r="E45" s="797"/>
      <c r="F45" s="797"/>
      <c r="G45" s="797"/>
      <c r="H45" s="797"/>
      <c r="I45" s="797"/>
      <c r="J45" s="797"/>
      <c r="K45" s="797"/>
      <c r="L45" s="797"/>
      <c r="M45" s="797"/>
      <c r="N45" s="798"/>
      <c r="O45" s="316"/>
      <c r="P45" s="307"/>
      <c r="Q45" s="307"/>
      <c r="R45" s="307"/>
      <c r="S45" s="307"/>
      <c r="T45" s="307"/>
      <c r="U45" s="307"/>
      <c r="V45" s="307"/>
      <c r="W45" s="307"/>
      <c r="X45" s="307"/>
      <c r="Y45" s="307"/>
      <c r="Z45" s="307"/>
    </row>
    <row r="46" spans="1:26" x14ac:dyDescent="0.2">
      <c r="A46" s="786"/>
      <c r="B46" s="316"/>
      <c r="C46" s="796"/>
      <c r="D46" s="797"/>
      <c r="E46" s="797"/>
      <c r="F46" s="797"/>
      <c r="G46" s="797"/>
      <c r="H46" s="797"/>
      <c r="I46" s="797"/>
      <c r="J46" s="797"/>
      <c r="K46" s="797"/>
      <c r="L46" s="797"/>
      <c r="M46" s="797"/>
      <c r="N46" s="798"/>
      <c r="O46" s="316"/>
      <c r="P46" s="307"/>
      <c r="Q46" s="307"/>
      <c r="R46" s="307"/>
      <c r="S46" s="307"/>
      <c r="T46" s="307"/>
      <c r="U46" s="307"/>
      <c r="V46" s="307"/>
      <c r="W46" s="307"/>
      <c r="X46" s="307"/>
      <c r="Y46" s="307"/>
      <c r="Z46" s="307"/>
    </row>
    <row r="47" spans="1:26" x14ac:dyDescent="0.2">
      <c r="A47" s="786"/>
      <c r="B47" s="316"/>
      <c r="C47" s="796"/>
      <c r="D47" s="797"/>
      <c r="E47" s="797"/>
      <c r="F47" s="797"/>
      <c r="G47" s="797"/>
      <c r="H47" s="797"/>
      <c r="I47" s="797"/>
      <c r="J47" s="797"/>
      <c r="K47" s="797"/>
      <c r="L47" s="797"/>
      <c r="M47" s="797"/>
      <c r="N47" s="798"/>
      <c r="O47" s="316"/>
      <c r="P47" s="307"/>
      <c r="Q47" s="307"/>
      <c r="R47" s="307"/>
      <c r="S47" s="307"/>
      <c r="T47" s="307"/>
      <c r="U47" s="307"/>
      <c r="V47" s="307"/>
      <c r="W47" s="307"/>
      <c r="X47" s="307"/>
      <c r="Y47" s="307"/>
      <c r="Z47" s="307"/>
    </row>
    <row r="48" spans="1:26" x14ac:dyDescent="0.2">
      <c r="A48" s="786"/>
      <c r="B48" s="316"/>
      <c r="C48" s="796"/>
      <c r="D48" s="797"/>
      <c r="E48" s="797"/>
      <c r="F48" s="797"/>
      <c r="G48" s="797"/>
      <c r="H48" s="797"/>
      <c r="I48" s="797"/>
      <c r="J48" s="797"/>
      <c r="K48" s="797"/>
      <c r="L48" s="797"/>
      <c r="M48" s="797"/>
      <c r="N48" s="798"/>
      <c r="O48" s="316"/>
      <c r="P48" s="307"/>
      <c r="Q48" s="307"/>
      <c r="R48" s="307"/>
      <c r="S48" s="307"/>
      <c r="T48" s="307"/>
      <c r="U48" s="307"/>
      <c r="V48" s="307"/>
      <c r="W48" s="307"/>
      <c r="X48" s="307"/>
      <c r="Y48" s="307"/>
      <c r="Z48" s="307"/>
    </row>
    <row r="49" spans="1:26" x14ac:dyDescent="0.2">
      <c r="A49" s="786"/>
      <c r="B49" s="316"/>
      <c r="C49" s="796"/>
      <c r="D49" s="797"/>
      <c r="E49" s="797"/>
      <c r="F49" s="797"/>
      <c r="G49" s="797"/>
      <c r="H49" s="797"/>
      <c r="I49" s="797"/>
      <c r="J49" s="797"/>
      <c r="K49" s="797"/>
      <c r="L49" s="797"/>
      <c r="M49" s="797"/>
      <c r="N49" s="798"/>
      <c r="O49" s="316"/>
      <c r="P49" s="307"/>
      <c r="Q49" s="307"/>
      <c r="R49" s="307"/>
      <c r="S49" s="307"/>
      <c r="T49" s="307"/>
      <c r="U49" s="307"/>
      <c r="V49" s="307"/>
      <c r="W49" s="307"/>
      <c r="X49" s="307"/>
      <c r="Y49" s="307"/>
      <c r="Z49" s="307"/>
    </row>
    <row r="50" spans="1:26" x14ac:dyDescent="0.2">
      <c r="A50" s="786"/>
      <c r="B50" s="316"/>
      <c r="C50" s="796"/>
      <c r="D50" s="797"/>
      <c r="E50" s="797"/>
      <c r="F50" s="797"/>
      <c r="G50" s="797"/>
      <c r="H50" s="797"/>
      <c r="I50" s="797"/>
      <c r="J50" s="797"/>
      <c r="K50" s="797"/>
      <c r="L50" s="797"/>
      <c r="M50" s="797"/>
      <c r="N50" s="798"/>
      <c r="O50" s="316"/>
      <c r="P50" s="307"/>
      <c r="Q50" s="307"/>
      <c r="R50" s="307"/>
      <c r="S50" s="307"/>
      <c r="T50" s="307"/>
      <c r="U50" s="307"/>
      <c r="V50" s="307"/>
      <c r="W50" s="307"/>
      <c r="X50" s="307"/>
      <c r="Y50" s="307"/>
      <c r="Z50" s="307"/>
    </row>
    <row r="51" spans="1:26" x14ac:dyDescent="0.2">
      <c r="A51" s="786"/>
      <c r="B51" s="316"/>
      <c r="C51" s="796"/>
      <c r="D51" s="797"/>
      <c r="E51" s="797"/>
      <c r="F51" s="797"/>
      <c r="G51" s="797"/>
      <c r="H51" s="797"/>
      <c r="I51" s="797"/>
      <c r="J51" s="797"/>
      <c r="K51" s="797"/>
      <c r="L51" s="797"/>
      <c r="M51" s="797"/>
      <c r="N51" s="798"/>
      <c r="O51" s="316"/>
      <c r="P51" s="307"/>
      <c r="Q51" s="307"/>
      <c r="R51" s="307"/>
      <c r="S51" s="307"/>
      <c r="T51" s="307"/>
      <c r="U51" s="307"/>
      <c r="V51" s="307"/>
      <c r="W51" s="307"/>
      <c r="X51" s="307"/>
      <c r="Y51" s="307"/>
      <c r="Z51" s="307"/>
    </row>
    <row r="52" spans="1:26" x14ac:dyDescent="0.2">
      <c r="A52" s="786"/>
      <c r="B52" s="316"/>
      <c r="C52" s="799"/>
      <c r="D52" s="800"/>
      <c r="E52" s="800"/>
      <c r="F52" s="800"/>
      <c r="G52" s="800"/>
      <c r="H52" s="800"/>
      <c r="I52" s="800"/>
      <c r="J52" s="800"/>
      <c r="K52" s="800"/>
      <c r="L52" s="800"/>
      <c r="M52" s="800"/>
      <c r="N52" s="801"/>
      <c r="O52" s="316"/>
      <c r="P52" s="307"/>
      <c r="Q52" s="307"/>
      <c r="R52" s="307"/>
      <c r="S52" s="307"/>
      <c r="T52" s="307"/>
      <c r="U52" s="307"/>
      <c r="V52" s="307"/>
      <c r="W52" s="307"/>
      <c r="X52" s="307"/>
      <c r="Y52" s="307"/>
      <c r="Z52" s="307"/>
    </row>
    <row r="53" spans="1:26" ht="13.5" thickBot="1" x14ac:dyDescent="0.25">
      <c r="A53" s="787"/>
      <c r="B53" s="316"/>
      <c r="C53" s="316"/>
      <c r="D53" s="316"/>
      <c r="E53" s="316"/>
      <c r="F53" s="316"/>
      <c r="G53" s="316"/>
      <c r="H53" s="316"/>
      <c r="I53" s="316"/>
      <c r="J53" s="316"/>
      <c r="K53" s="316"/>
      <c r="L53" s="316"/>
      <c r="M53" s="316"/>
      <c r="N53" s="316"/>
      <c r="O53" s="316"/>
      <c r="P53" s="307"/>
      <c r="Q53" s="307"/>
      <c r="R53" s="307"/>
      <c r="S53" s="307"/>
      <c r="T53" s="307"/>
      <c r="U53" s="307"/>
      <c r="V53" s="307"/>
      <c r="W53" s="307"/>
      <c r="X53" s="307"/>
      <c r="Y53" s="307"/>
      <c r="Z53" s="307"/>
    </row>
    <row r="54" spans="1:26" s="307" customFormat="1" ht="409.15" customHeight="1" x14ac:dyDescent="0.2"/>
  </sheetData>
  <sheetProtection algorithmName="SHA-512" hashValue="vhbRNWypLPraxlnY6Ww/o5pCmmX2RIYKzL1YfXSwhpER6mh1sNq7LSyYSEC/2ZcZdVKxgfIXQSTsclP1donrVQ==" saltValue="wKh74oKCzd5JKbYVkL2tGw==" spinCount="100000" sheet="1" objects="1" scenarios="1"/>
  <mergeCells count="9">
    <mergeCell ref="A1:E14"/>
    <mergeCell ref="A15:A53"/>
    <mergeCell ref="C21:F21"/>
    <mergeCell ref="G21:I21"/>
    <mergeCell ref="C23:N23"/>
    <mergeCell ref="C31:N52"/>
    <mergeCell ref="E18:I18"/>
    <mergeCell ref="M21:N21"/>
    <mergeCell ref="G16:I16"/>
  </mergeCells>
  <conditionalFormatting sqref="B25:O29">
    <cfRule type="expression" dxfId="6" priority="3" stopIfTrue="1">
      <formula>IF($N$12="Ja",1,0)</formula>
    </cfRule>
  </conditionalFormatting>
  <conditionalFormatting sqref="B24:O24">
    <cfRule type="expression" dxfId="5" priority="4" stopIfTrue="1">
      <formula>IF($N$12="j",1,0)</formula>
    </cfRule>
  </conditionalFormatting>
  <conditionalFormatting sqref="N10">
    <cfRule type="expression" dxfId="4" priority="1">
      <formula>IF($N$8="Nein",0,1)</formula>
    </cfRule>
    <cfRule type="expression" dxfId="3" priority="112" stopIfTrue="1">
      <formula>IF($N$6="Ja",0,1)</formula>
    </cfRule>
  </conditionalFormatting>
  <conditionalFormatting sqref="N8">
    <cfRule type="expression" dxfId="2" priority="2" stopIfTrue="1">
      <formula>IF($N$6="Ja",0,1)</formula>
    </cfRule>
  </conditionalFormatting>
  <dataValidations count="1">
    <dataValidation type="list" operator="equal" allowBlank="1" sqref="N6 N8:N9 N12">
      <formula1>"Ja,Nein"</formula1>
    </dataValidation>
  </dataValidations>
  <pageMargins left="0.70866141732283472" right="0.70866141732283472" top="0.78740157480314965" bottom="0.78740157480314965" header="0.31496062992125984" footer="0.31496062992125984"/>
  <pageSetup paperSize="9" scale="90" orientation="portrait" horizontalDpi="4294967293" verticalDpi="4294967293" r:id="rId1"/>
  <headerFooter>
    <oddHeader>&amp;CAfA-Berechnung</oddHeader>
    <oddFooter>&amp;L2020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4" tint="-0.249977111117893"/>
  </sheetPr>
  <dimension ref="A1:N110"/>
  <sheetViews>
    <sheetView showGridLines="0" showRowColHeaders="0" view="pageBreakPreview" topLeftCell="A10" zoomScale="205" zoomScaleNormal="85" zoomScaleSheetLayoutView="205" workbookViewId="0">
      <selection activeCell="N41" sqref="A35:N41"/>
    </sheetView>
  </sheetViews>
  <sheetFormatPr baseColWidth="10" defaultColWidth="14.140625" defaultRowHeight="12.75" x14ac:dyDescent="0.2"/>
  <cols>
    <col min="1" max="1" width="3.28515625" style="250" customWidth="1"/>
    <col min="2" max="2" width="2.7109375" style="250" customWidth="1"/>
    <col min="3" max="3" width="7.28515625" style="250" customWidth="1"/>
    <col min="4" max="4" width="14.140625" style="250"/>
    <col min="5" max="5" width="16.7109375" style="250" customWidth="1"/>
    <col min="6" max="6" width="6" style="250" customWidth="1"/>
    <col min="7" max="7" width="7.28515625" style="250" customWidth="1"/>
    <col min="8" max="8" width="12.42578125" style="250" customWidth="1"/>
    <col min="9" max="10" width="12.85546875" style="250" customWidth="1"/>
    <col min="11" max="11" width="3.85546875" style="251" customWidth="1"/>
    <col min="12" max="12" width="12.28515625" style="250" customWidth="1"/>
    <col min="13" max="13" width="3.28515625" style="250" customWidth="1"/>
    <col min="14" max="14" width="122" style="291" customWidth="1"/>
    <col min="15" max="16384" width="14.140625" style="250"/>
  </cols>
  <sheetData>
    <row r="1" spans="1:13" x14ac:dyDescent="0.2">
      <c r="A1" s="253"/>
      <c r="B1" s="253"/>
      <c r="C1" s="253"/>
      <c r="D1" s="253"/>
      <c r="E1" s="253"/>
      <c r="F1" s="253"/>
      <c r="G1" s="253"/>
      <c r="H1" s="253"/>
      <c r="I1" s="253"/>
      <c r="J1" s="253"/>
      <c r="K1" s="254"/>
      <c r="L1" s="253"/>
      <c r="M1" s="253"/>
    </row>
    <row r="2" spans="1:13" ht="18" x14ac:dyDescent="0.25">
      <c r="A2" s="253"/>
      <c r="B2" s="256" t="s">
        <v>222</v>
      </c>
      <c r="C2" s="255"/>
      <c r="D2" s="255"/>
      <c r="E2" s="255"/>
      <c r="F2" s="255"/>
      <c r="G2" s="255"/>
      <c r="H2" s="255"/>
      <c r="I2" s="255"/>
      <c r="J2" s="257"/>
      <c r="K2" s="255"/>
      <c r="L2" s="253"/>
      <c r="M2" s="253"/>
    </row>
    <row r="3" spans="1:13" ht="18" x14ac:dyDescent="0.25">
      <c r="A3" s="253"/>
      <c r="B3" s="258" t="str">
        <f>"zu Objekt &gt;"&amp;KPA!E5&amp;"&lt;"</f>
        <v>zu Objekt &gt;&lt;</v>
      </c>
      <c r="C3" s="258"/>
      <c r="D3" s="258"/>
      <c r="E3" s="258"/>
      <c r="F3" s="258"/>
      <c r="G3" s="258"/>
      <c r="H3" s="258"/>
      <c r="I3" s="258"/>
      <c r="J3" s="258"/>
      <c r="K3" s="258"/>
      <c r="L3" s="253"/>
      <c r="M3" s="253"/>
    </row>
    <row r="4" spans="1:13" x14ac:dyDescent="0.2">
      <c r="A4" s="253"/>
      <c r="B4" s="253"/>
      <c r="C4" s="253"/>
      <c r="D4" s="253"/>
      <c r="E4" s="253"/>
      <c r="F4" s="253"/>
      <c r="G4" s="253"/>
      <c r="H4" s="253"/>
      <c r="I4" s="253"/>
      <c r="J4" s="253"/>
      <c r="K4" s="254"/>
      <c r="L4" s="253"/>
      <c r="M4" s="253"/>
    </row>
    <row r="5" spans="1:13" x14ac:dyDescent="0.2">
      <c r="A5" s="253"/>
      <c r="B5" s="259"/>
      <c r="C5" s="260"/>
      <c r="D5" s="260"/>
      <c r="E5" s="260"/>
      <c r="F5" s="260"/>
      <c r="G5" s="260"/>
      <c r="H5" s="260"/>
      <c r="I5" s="260"/>
      <c r="J5" s="260"/>
      <c r="K5" s="261"/>
      <c r="L5" s="262"/>
      <c r="M5" s="253"/>
    </row>
    <row r="6" spans="1:13" x14ac:dyDescent="0.2">
      <c r="A6" s="253"/>
      <c r="B6" s="263" t="s">
        <v>218</v>
      </c>
      <c r="C6" s="264" t="s">
        <v>214</v>
      </c>
      <c r="D6" s="264"/>
      <c r="E6" s="264"/>
      <c r="F6" s="264"/>
      <c r="G6" s="264"/>
      <c r="H6" s="264"/>
      <c r="I6" s="264"/>
      <c r="J6" s="265" t="s">
        <v>213</v>
      </c>
      <c r="K6" s="265"/>
      <c r="L6" s="294" t="e">
        <f>ROUND(VLOOKUP(KPA!O7,'SW-NHK'!D6:O66,IF(KPA!F11&lt;0,2,IF(KPA!F11&lt;1995,3,IF(KPA!F11&lt;2005,4,5))),FALSE),0)</f>
        <v>#N/A</v>
      </c>
      <c r="M6" s="253"/>
    </row>
    <row r="7" spans="1:13" x14ac:dyDescent="0.2">
      <c r="A7" s="253"/>
      <c r="B7" s="263"/>
      <c r="C7" s="266" t="s">
        <v>189</v>
      </c>
      <c r="D7" s="266"/>
      <c r="E7" s="266"/>
      <c r="F7" s="266"/>
      <c r="G7" s="266"/>
      <c r="H7" s="266"/>
      <c r="I7" s="264"/>
      <c r="J7" s="267"/>
      <c r="K7" s="265"/>
      <c r="L7" s="270"/>
      <c r="M7" s="253"/>
    </row>
    <row r="8" spans="1:13" x14ac:dyDescent="0.2">
      <c r="A8" s="253"/>
      <c r="B8" s="263"/>
      <c r="C8" s="266" t="s">
        <v>190</v>
      </c>
      <c r="D8" s="266"/>
      <c r="E8" s="266"/>
      <c r="F8" s="266"/>
      <c r="G8" s="266"/>
      <c r="H8" s="266"/>
      <c r="I8" s="264"/>
      <c r="J8" s="267"/>
      <c r="K8" s="265"/>
      <c r="L8" s="270"/>
      <c r="M8" s="253"/>
    </row>
    <row r="9" spans="1:13" x14ac:dyDescent="0.2">
      <c r="A9" s="253"/>
      <c r="B9" s="263"/>
      <c r="C9" s="266"/>
      <c r="D9" s="266"/>
      <c r="E9" s="266"/>
      <c r="F9" s="266"/>
      <c r="G9" s="266"/>
      <c r="H9" s="266"/>
      <c r="I9" s="264"/>
      <c r="J9" s="267"/>
      <c r="K9" s="265"/>
      <c r="L9" s="270"/>
      <c r="M9" s="253"/>
    </row>
    <row r="10" spans="1:13" x14ac:dyDescent="0.2">
      <c r="A10" s="253"/>
      <c r="B10" s="263"/>
      <c r="C10" s="260"/>
      <c r="D10" s="260"/>
      <c r="E10" s="260"/>
      <c r="F10" s="260"/>
      <c r="G10" s="260"/>
      <c r="H10" s="260"/>
      <c r="I10" s="260"/>
      <c r="J10" s="268"/>
      <c r="K10" s="269"/>
      <c r="L10" s="270"/>
      <c r="M10" s="253"/>
    </row>
    <row r="11" spans="1:13" x14ac:dyDescent="0.2">
      <c r="A11" s="253"/>
      <c r="B11" s="263" t="s">
        <v>188</v>
      </c>
      <c r="C11" s="264" t="s">
        <v>215</v>
      </c>
      <c r="D11" s="264"/>
      <c r="E11" s="264"/>
      <c r="F11" s="264"/>
      <c r="G11" s="264"/>
      <c r="H11" s="264"/>
      <c r="I11" s="264"/>
      <c r="J11" s="267"/>
      <c r="K11" s="265"/>
      <c r="L11" s="270"/>
      <c r="M11" s="253"/>
    </row>
    <row r="12" spans="1:13" x14ac:dyDescent="0.2">
      <c r="A12" s="253"/>
      <c r="B12" s="263"/>
      <c r="C12" s="266" t="s">
        <v>192</v>
      </c>
      <c r="D12" s="264"/>
      <c r="E12" s="264"/>
      <c r="F12" s="264"/>
      <c r="G12" s="264"/>
      <c r="H12" s="264"/>
      <c r="I12" s="264"/>
      <c r="J12" s="265" t="s">
        <v>193</v>
      </c>
      <c r="K12" s="265" t="s">
        <v>60</v>
      </c>
      <c r="L12" s="335" t="e">
        <f>VLOOKUP(KPA!O7,'SW-NHK'!D6:O66,7,FALSE)</f>
        <v>#N/A</v>
      </c>
      <c r="M12" s="253"/>
    </row>
    <row r="13" spans="1:13" x14ac:dyDescent="0.2">
      <c r="A13" s="253"/>
      <c r="B13" s="263"/>
      <c r="C13" s="266"/>
      <c r="D13" s="264"/>
      <c r="E13" s="264"/>
      <c r="F13" s="264"/>
      <c r="G13" s="264"/>
      <c r="H13" s="264"/>
      <c r="I13" s="264"/>
      <c r="J13" s="267"/>
      <c r="K13" s="265"/>
      <c r="L13" s="270"/>
      <c r="M13" s="253"/>
    </row>
    <row r="14" spans="1:13" x14ac:dyDescent="0.2">
      <c r="A14" s="253"/>
      <c r="B14" s="263"/>
      <c r="C14" s="264"/>
      <c r="D14" s="264"/>
      <c r="E14" s="264"/>
      <c r="F14" s="264"/>
      <c r="G14" s="264"/>
      <c r="H14" s="264"/>
      <c r="I14" s="264"/>
      <c r="J14" s="265" t="s">
        <v>216</v>
      </c>
      <c r="K14" s="265" t="s">
        <v>61</v>
      </c>
      <c r="L14" s="293" t="e">
        <f>'SW-NHK'!F70</f>
        <v>#N/A</v>
      </c>
      <c r="M14" s="253"/>
    </row>
    <row r="15" spans="1:13" x14ac:dyDescent="0.2">
      <c r="A15" s="253"/>
      <c r="B15" s="263"/>
      <c r="C15" s="266"/>
      <c r="D15" s="266"/>
      <c r="E15" s="266"/>
      <c r="F15" s="266"/>
      <c r="G15" s="266"/>
      <c r="H15" s="266"/>
      <c r="I15" s="264"/>
      <c r="J15" s="267"/>
      <c r="K15" s="265"/>
      <c r="L15" s="270"/>
      <c r="M15" s="253"/>
    </row>
    <row r="16" spans="1:13" x14ac:dyDescent="0.2">
      <c r="A16" s="253"/>
      <c r="B16" s="263"/>
      <c r="C16" s="260"/>
      <c r="D16" s="260"/>
      <c r="E16" s="260"/>
      <c r="F16" s="260"/>
      <c r="G16" s="260"/>
      <c r="H16" s="260"/>
      <c r="I16" s="260"/>
      <c r="J16" s="268"/>
      <c r="K16" s="269"/>
      <c r="L16" s="270"/>
      <c r="M16" s="253"/>
    </row>
    <row r="17" spans="1:13" x14ac:dyDescent="0.2">
      <c r="A17" s="253"/>
      <c r="B17" s="263" t="s">
        <v>191</v>
      </c>
      <c r="C17" s="264" t="s">
        <v>219</v>
      </c>
      <c r="D17" s="264"/>
      <c r="E17" s="264"/>
      <c r="F17" s="264"/>
      <c r="G17" s="264"/>
      <c r="H17" s="264"/>
      <c r="I17" s="264"/>
      <c r="J17" s="264"/>
      <c r="K17" s="271"/>
      <c r="L17" s="272"/>
      <c r="M17" s="253"/>
    </row>
    <row r="18" spans="1:13" x14ac:dyDescent="0.2">
      <c r="A18" s="253"/>
      <c r="B18" s="263"/>
      <c r="C18" s="264" t="s">
        <v>195</v>
      </c>
      <c r="D18" s="264"/>
      <c r="E18" s="264"/>
      <c r="F18" s="264"/>
      <c r="G18" s="264"/>
      <c r="H18" s="264"/>
      <c r="I18" s="264"/>
      <c r="J18" s="264"/>
      <c r="K18" s="271"/>
      <c r="L18" s="272"/>
      <c r="M18" s="253"/>
    </row>
    <row r="19" spans="1:13" x14ac:dyDescent="0.2">
      <c r="A19" s="253"/>
      <c r="B19" s="263"/>
      <c r="C19" s="264"/>
      <c r="D19" s="264" t="s">
        <v>196</v>
      </c>
      <c r="E19" s="264"/>
      <c r="F19" s="264"/>
      <c r="G19" s="347" t="s">
        <v>197</v>
      </c>
      <c r="H19" s="264"/>
      <c r="I19" s="264"/>
      <c r="J19" s="264"/>
      <c r="K19" s="271"/>
      <c r="L19" s="272"/>
      <c r="M19" s="253"/>
    </row>
    <row r="20" spans="1:13" x14ac:dyDescent="0.2">
      <c r="A20" s="253"/>
      <c r="B20" s="263"/>
      <c r="C20" s="264"/>
      <c r="D20" s="264" t="s">
        <v>198</v>
      </c>
      <c r="E20" s="264"/>
      <c r="F20" s="264"/>
      <c r="G20" s="347">
        <v>1.1000000000000001</v>
      </c>
      <c r="H20" s="264"/>
      <c r="I20" s="264"/>
      <c r="J20" s="264"/>
      <c r="K20" s="271"/>
      <c r="L20" s="272"/>
      <c r="M20" s="253"/>
    </row>
    <row r="21" spans="1:13" x14ac:dyDescent="0.2">
      <c r="A21" s="253"/>
      <c r="B21" s="263"/>
      <c r="C21" s="264"/>
      <c r="D21" s="264" t="s">
        <v>199</v>
      </c>
      <c r="E21" s="264"/>
      <c r="F21" s="264"/>
      <c r="G21" s="347">
        <v>0.85</v>
      </c>
      <c r="H21" s="264"/>
      <c r="I21" s="264"/>
      <c r="J21" s="264"/>
      <c r="K21" s="271"/>
      <c r="L21" s="272"/>
      <c r="M21" s="253"/>
    </row>
    <row r="22" spans="1:13" x14ac:dyDescent="0.2">
      <c r="A22" s="253"/>
      <c r="B22" s="263"/>
      <c r="C22" s="264"/>
      <c r="D22" s="264" t="s">
        <v>200</v>
      </c>
      <c r="E22" s="264"/>
      <c r="F22" s="264"/>
      <c r="G22" s="304">
        <v>1</v>
      </c>
      <c r="H22" s="264"/>
      <c r="I22" s="264"/>
      <c r="J22" s="264"/>
      <c r="K22" s="271"/>
      <c r="L22" s="272"/>
      <c r="M22" s="253"/>
    </row>
    <row r="23" spans="1:13" x14ac:dyDescent="0.2">
      <c r="A23" s="253"/>
      <c r="B23" s="263"/>
      <c r="C23" s="264"/>
      <c r="D23" s="264"/>
      <c r="E23" s="264"/>
      <c r="F23" s="264"/>
      <c r="G23" s="264"/>
      <c r="H23" s="264"/>
      <c r="I23" s="264"/>
      <c r="J23" s="264"/>
      <c r="K23" s="271"/>
      <c r="L23" s="272"/>
      <c r="M23" s="253"/>
    </row>
    <row r="24" spans="1:13" x14ac:dyDescent="0.2">
      <c r="A24" s="253"/>
      <c r="B24" s="263"/>
      <c r="C24" s="264" t="str">
        <f>IF(OR(LEFT(KPA!O7,3)="Woh",KPA!O7="Teileigentum: Mietwohngrundstücke (Mehrfamilienhäuser)"),"Anpassung erfolgt hier mit Faktor "&amp;IF(KPA!K11&lt;=35,"1,1.",IF(KPA!K11&gt;=135,"0,85.","1,0.")),"Trifft hier nicht zu, da es sich hier um kein Wohnungseigentum handelt.")</f>
        <v>Trifft hier nicht zu, da es sich hier um kein Wohnungseigentum handelt.</v>
      </c>
      <c r="D24" s="264"/>
      <c r="E24" s="264"/>
      <c r="F24" s="264"/>
      <c r="G24" s="264"/>
      <c r="H24" s="264"/>
      <c r="I24" s="347"/>
      <c r="J24" s="265"/>
      <c r="K24" s="265" t="s">
        <v>60</v>
      </c>
      <c r="L24" s="335">
        <f>IF(OR(LEFT(KPA!O7,3)="Woh",KPA!O7="Teileigentum: Mietwohngrundstücke (Mehrfamilienhäuser)"),IF(KPA!K11&lt;=35,1.1,IF(KPA!K11&gt;=135,0.85,1)),1)</f>
        <v>1</v>
      </c>
      <c r="M24" s="253"/>
    </row>
    <row r="25" spans="1:13" x14ac:dyDescent="0.2">
      <c r="A25" s="253"/>
      <c r="B25" s="263"/>
      <c r="C25" s="264"/>
      <c r="D25" s="264"/>
      <c r="E25" s="264"/>
      <c r="F25" s="264"/>
      <c r="G25" s="264"/>
      <c r="H25" s="264"/>
      <c r="I25" s="284"/>
      <c r="J25" s="284"/>
      <c r="K25" s="285"/>
      <c r="L25" s="272"/>
      <c r="M25" s="253"/>
    </row>
    <row r="26" spans="1:13" x14ac:dyDescent="0.2">
      <c r="A26" s="253"/>
      <c r="B26" s="263"/>
      <c r="C26" s="264"/>
      <c r="D26" s="264"/>
      <c r="E26" s="264"/>
      <c r="F26" s="264"/>
      <c r="G26" s="264"/>
      <c r="H26" s="264"/>
      <c r="I26" s="264"/>
      <c r="J26" s="265" t="s">
        <v>217</v>
      </c>
      <c r="K26" s="265" t="s">
        <v>61</v>
      </c>
      <c r="L26" s="295" t="e">
        <f>L14*L24</f>
        <v>#N/A</v>
      </c>
      <c r="M26" s="253"/>
    </row>
    <row r="27" spans="1:13" x14ac:dyDescent="0.2">
      <c r="A27" s="253"/>
      <c r="B27" s="263"/>
      <c r="C27" s="266"/>
      <c r="D27" s="266"/>
      <c r="E27" s="266"/>
      <c r="F27" s="266"/>
      <c r="G27" s="266"/>
      <c r="H27" s="266"/>
      <c r="I27" s="264"/>
      <c r="J27" s="267"/>
      <c r="K27" s="265"/>
      <c r="L27" s="270"/>
      <c r="M27" s="253"/>
    </row>
    <row r="28" spans="1:13" x14ac:dyDescent="0.2">
      <c r="A28" s="253"/>
      <c r="B28" s="263"/>
      <c r="C28" s="260"/>
      <c r="D28" s="260"/>
      <c r="E28" s="260"/>
      <c r="F28" s="260"/>
      <c r="G28" s="260"/>
      <c r="H28" s="260"/>
      <c r="I28" s="260"/>
      <c r="J28" s="268"/>
      <c r="K28" s="269"/>
      <c r="L28" s="270"/>
      <c r="M28" s="253"/>
    </row>
    <row r="29" spans="1:13" x14ac:dyDescent="0.2">
      <c r="A29" s="253"/>
      <c r="B29" s="263" t="s">
        <v>194</v>
      </c>
      <c r="C29" s="264" t="s">
        <v>202</v>
      </c>
      <c r="D29" s="264"/>
      <c r="E29" s="264"/>
      <c r="F29" s="264"/>
      <c r="G29" s="264"/>
      <c r="H29" s="264"/>
      <c r="I29" s="264"/>
      <c r="J29" s="264"/>
      <c r="K29" s="265" t="s">
        <v>60</v>
      </c>
      <c r="L29" s="335">
        <v>1.03</v>
      </c>
      <c r="M29" s="253"/>
    </row>
    <row r="30" spans="1:13" x14ac:dyDescent="0.2">
      <c r="A30" s="253"/>
      <c r="B30" s="263"/>
      <c r="C30" s="264"/>
      <c r="D30" s="264"/>
      <c r="E30" s="264"/>
      <c r="F30" s="264"/>
      <c r="G30" s="264"/>
      <c r="H30" s="264"/>
      <c r="I30" s="264"/>
      <c r="J30" s="264"/>
      <c r="K30" s="271"/>
      <c r="L30" s="272"/>
      <c r="M30" s="253"/>
    </row>
    <row r="31" spans="1:13" hidden="1" x14ac:dyDescent="0.2">
      <c r="A31" s="253"/>
      <c r="B31" s="263"/>
      <c r="C31" s="264"/>
      <c r="D31" s="264"/>
      <c r="E31" s="264"/>
      <c r="F31" s="264"/>
      <c r="G31" s="264"/>
      <c r="H31" s="264"/>
      <c r="I31" s="264"/>
      <c r="J31" s="264"/>
      <c r="K31" s="271"/>
      <c r="L31" s="272"/>
      <c r="M31" s="253"/>
    </row>
    <row r="32" spans="1:13" x14ac:dyDescent="0.2">
      <c r="A32" s="253"/>
      <c r="B32" s="263"/>
      <c r="C32" s="264"/>
      <c r="D32" s="264"/>
      <c r="E32" s="264"/>
      <c r="F32" s="264"/>
      <c r="G32" s="264"/>
      <c r="H32" s="264"/>
      <c r="I32" s="264"/>
      <c r="J32" s="265" t="s">
        <v>220</v>
      </c>
      <c r="K32" s="265" t="s">
        <v>61</v>
      </c>
      <c r="L32" s="295" t="e">
        <f>'SW-NHK'!F74</f>
        <v>#N/A</v>
      </c>
      <c r="M32" s="253"/>
    </row>
    <row r="33" spans="1:13" x14ac:dyDescent="0.2">
      <c r="A33" s="253"/>
      <c r="B33" s="263"/>
      <c r="C33" s="264"/>
      <c r="D33" s="264"/>
      <c r="E33" s="264"/>
      <c r="F33" s="264"/>
      <c r="G33" s="264"/>
      <c r="H33" s="264"/>
      <c r="I33" s="264"/>
      <c r="J33" s="264"/>
      <c r="K33" s="271"/>
      <c r="L33" s="272"/>
      <c r="M33" s="253"/>
    </row>
    <row r="34" spans="1:13" x14ac:dyDescent="0.2">
      <c r="A34" s="253"/>
      <c r="B34" s="263"/>
      <c r="C34" s="266"/>
      <c r="D34" s="266"/>
      <c r="E34" s="266"/>
      <c r="F34" s="266"/>
      <c r="G34" s="266"/>
      <c r="H34" s="266"/>
      <c r="I34" s="264"/>
      <c r="J34" s="267"/>
      <c r="K34" s="265"/>
      <c r="L34" s="270"/>
      <c r="M34" s="253"/>
    </row>
    <row r="35" spans="1:13" x14ac:dyDescent="0.2">
      <c r="A35" s="253"/>
      <c r="B35" s="263"/>
      <c r="C35" s="260"/>
      <c r="D35" s="260"/>
      <c r="E35" s="260"/>
      <c r="F35" s="260"/>
      <c r="G35" s="260"/>
      <c r="H35" s="260"/>
      <c r="I35" s="260"/>
      <c r="J35" s="268"/>
      <c r="K35" s="269"/>
      <c r="L35" s="270"/>
      <c r="M35" s="253"/>
    </row>
    <row r="36" spans="1:13" x14ac:dyDescent="0.2">
      <c r="A36" s="253"/>
      <c r="B36" s="263" t="s">
        <v>201</v>
      </c>
      <c r="C36" s="264" t="s">
        <v>204</v>
      </c>
      <c r="D36" s="264"/>
      <c r="E36" s="264"/>
      <c r="F36" s="264"/>
      <c r="G36" s="264"/>
      <c r="H36" s="264"/>
      <c r="I36" s="264"/>
      <c r="J36" s="264"/>
      <c r="K36" s="271"/>
      <c r="L36" s="272"/>
      <c r="M36" s="253"/>
    </row>
    <row r="37" spans="1:13" x14ac:dyDescent="0.2">
      <c r="A37" s="253"/>
      <c r="B37" s="263"/>
      <c r="C37" s="264"/>
      <c r="D37" s="264"/>
      <c r="E37" s="264"/>
      <c r="F37" s="264"/>
      <c r="G37" s="264"/>
      <c r="H37" s="264"/>
      <c r="I37" s="264"/>
      <c r="J37" s="264"/>
      <c r="K37" s="271"/>
      <c r="L37" s="272"/>
      <c r="M37" s="253"/>
    </row>
    <row r="38" spans="1:13" x14ac:dyDescent="0.2">
      <c r="A38" s="253"/>
      <c r="B38" s="263"/>
      <c r="C38" s="346" t="s">
        <v>205</v>
      </c>
      <c r="D38" s="264"/>
      <c r="E38" s="264"/>
      <c r="F38" s="264"/>
      <c r="G38" s="264"/>
      <c r="H38" s="264"/>
      <c r="I38" s="264"/>
      <c r="J38" s="264"/>
      <c r="K38" s="271"/>
      <c r="L38" s="272"/>
      <c r="M38" s="253"/>
    </row>
    <row r="39" spans="1:13" x14ac:dyDescent="0.2">
      <c r="A39" s="253"/>
      <c r="B39" s="263"/>
      <c r="C39" s="264" t="s">
        <v>223</v>
      </c>
      <c r="D39" s="264"/>
      <c r="E39" s="264"/>
      <c r="F39" s="264"/>
      <c r="G39" s="264"/>
      <c r="H39" s="264"/>
      <c r="I39" s="264"/>
      <c r="J39" s="264"/>
      <c r="K39" s="271"/>
      <c r="L39" s="272"/>
      <c r="M39" s="253"/>
    </row>
    <row r="40" spans="1:13" x14ac:dyDescent="0.2">
      <c r="A40" s="253"/>
      <c r="B40" s="263"/>
      <c r="C40" s="264"/>
      <c r="D40" s="264"/>
      <c r="E40" s="264"/>
      <c r="F40" s="264"/>
      <c r="G40" s="264"/>
      <c r="H40" s="264"/>
      <c r="I40" s="264"/>
      <c r="J40" s="264"/>
      <c r="K40" s="271"/>
      <c r="L40" s="272"/>
      <c r="M40" s="253"/>
    </row>
    <row r="41" spans="1:13" x14ac:dyDescent="0.2">
      <c r="A41" s="253"/>
      <c r="B41" s="263"/>
      <c r="C41" s="810" t="s">
        <v>224</v>
      </c>
      <c r="D41" s="810"/>
      <c r="E41" s="264"/>
      <c r="F41" s="264"/>
      <c r="G41" s="264"/>
      <c r="H41" s="264"/>
      <c r="I41" s="264"/>
      <c r="J41" s="264"/>
      <c r="K41" s="271"/>
      <c r="L41" s="272"/>
      <c r="M41" s="253"/>
    </row>
    <row r="42" spans="1:13" x14ac:dyDescent="0.2">
      <c r="A42" s="253"/>
      <c r="B42" s="263"/>
      <c r="C42" s="264" t="s">
        <v>206</v>
      </c>
      <c r="D42" s="264"/>
      <c r="E42" s="264"/>
      <c r="F42" s="264"/>
      <c r="G42" s="264"/>
      <c r="H42" s="264"/>
      <c r="I42" s="264"/>
      <c r="J42" s="264"/>
      <c r="K42" s="271"/>
      <c r="L42" s="272"/>
      <c r="M42" s="253"/>
    </row>
    <row r="43" spans="1:13" x14ac:dyDescent="0.2">
      <c r="A43" s="253"/>
      <c r="B43" s="263"/>
      <c r="C43" s="264" t="s">
        <v>207</v>
      </c>
      <c r="D43" s="264"/>
      <c r="E43" s="264"/>
      <c r="F43" s="811">
        <v>70</v>
      </c>
      <c r="G43" s="811"/>
      <c r="H43" s="264" t="s">
        <v>208</v>
      </c>
      <c r="I43" s="264"/>
      <c r="J43" s="264"/>
      <c r="K43" s="271"/>
      <c r="L43" s="272"/>
      <c r="M43" s="253"/>
    </row>
    <row r="44" spans="1:13" ht="7.5" customHeight="1" thickBot="1" x14ac:dyDescent="0.25">
      <c r="A44" s="253"/>
      <c r="B44" s="263"/>
      <c r="C44" s="264"/>
      <c r="D44" s="264"/>
      <c r="E44" s="264"/>
      <c r="F44" s="264"/>
      <c r="G44" s="274"/>
      <c r="H44" s="264"/>
      <c r="I44" s="812" t="e">
        <f>"hier: "&amp;VLOOKUP(KPA!O7,'SW-NHK'!D6:P66,13,FALSE)</f>
        <v>#N/A</v>
      </c>
      <c r="J44" s="347"/>
      <c r="K44" s="271"/>
      <c r="L44" s="272"/>
      <c r="M44" s="253"/>
    </row>
    <row r="45" spans="1:13" ht="7.5" customHeight="1" thickTop="1" x14ac:dyDescent="0.2">
      <c r="A45" s="253"/>
      <c r="B45" s="263"/>
      <c r="C45" s="264"/>
      <c r="D45" s="264"/>
      <c r="E45" s="264"/>
      <c r="F45" s="264"/>
      <c r="G45" s="275"/>
      <c r="H45" s="276"/>
      <c r="I45" s="813"/>
      <c r="J45" s="347"/>
      <c r="K45" s="271"/>
      <c r="L45" s="272"/>
      <c r="M45" s="253"/>
    </row>
    <row r="46" spans="1:13" x14ac:dyDescent="0.2">
      <c r="A46" s="253"/>
      <c r="B46" s="263"/>
      <c r="C46" s="264" t="s">
        <v>209</v>
      </c>
      <c r="D46" s="264"/>
      <c r="E46" s="264"/>
      <c r="F46" s="811">
        <v>80</v>
      </c>
      <c r="G46" s="811"/>
      <c r="H46" s="264" t="s">
        <v>208</v>
      </c>
      <c r="I46" s="264"/>
      <c r="J46" s="264"/>
      <c r="K46" s="271"/>
      <c r="L46" s="272"/>
      <c r="M46" s="253"/>
    </row>
    <row r="47" spans="1:13" x14ac:dyDescent="0.2">
      <c r="A47" s="253"/>
      <c r="B47" s="263"/>
      <c r="C47" s="264"/>
      <c r="D47" s="264"/>
      <c r="E47" s="264"/>
      <c r="F47" s="264"/>
      <c r="G47" s="264"/>
      <c r="H47" s="264"/>
      <c r="I47" s="264"/>
      <c r="J47" s="264"/>
      <c r="K47" s="271"/>
      <c r="L47" s="272"/>
      <c r="M47" s="253"/>
    </row>
    <row r="48" spans="1:13" x14ac:dyDescent="0.2">
      <c r="A48" s="253"/>
      <c r="B48" s="263"/>
      <c r="C48" s="264"/>
      <c r="D48" s="264"/>
      <c r="E48" s="264"/>
      <c r="F48" s="264"/>
      <c r="G48" s="264"/>
      <c r="H48" s="271" t="s">
        <v>212</v>
      </c>
      <c r="I48" s="286">
        <f>KPA!G9</f>
        <v>0</v>
      </c>
      <c r="J48" s="286"/>
      <c r="K48" s="287"/>
      <c r="L48" s="272"/>
      <c r="M48" s="253"/>
    </row>
    <row r="49" spans="1:13" x14ac:dyDescent="0.2">
      <c r="A49" s="253"/>
      <c r="B49" s="263"/>
      <c r="C49" s="264"/>
      <c r="D49" s="264"/>
      <c r="E49" s="264"/>
      <c r="F49" s="264"/>
      <c r="G49" s="264"/>
      <c r="H49" s="271" t="str">
        <f>IF('Fiktives Baujahr'!D49="Bitte KPA ausfüllen","Ursprüngliches Baujahr:",IF('Fiktives Baujahr'!D49&lt;&gt;KPA!G11,"Fiktives Baujahr ("&amp;KPA!F11&amp;"):","Ursprüngliches Baujahr:"))</f>
        <v>Ursprüngliches Baujahr:</v>
      </c>
      <c r="I49" s="288" t="str">
        <f>KPA!F11</f>
        <v/>
      </c>
      <c r="J49" s="288"/>
      <c r="K49" s="285"/>
      <c r="L49" s="272"/>
      <c r="M49" s="253"/>
    </row>
    <row r="50" spans="1:13" x14ac:dyDescent="0.2">
      <c r="A50" s="253"/>
      <c r="B50" s="263"/>
      <c r="C50" s="264"/>
      <c r="D50" s="264"/>
      <c r="E50" s="264"/>
      <c r="F50" s="264"/>
      <c r="G50" s="264"/>
      <c r="H50" s="264"/>
      <c r="I50" s="264"/>
      <c r="J50" s="264"/>
      <c r="K50" s="271"/>
      <c r="L50" s="272"/>
      <c r="M50" s="253"/>
    </row>
    <row r="51" spans="1:13" x14ac:dyDescent="0.2">
      <c r="A51" s="253"/>
      <c r="B51" s="263"/>
      <c r="C51" s="264"/>
      <c r="D51" s="264"/>
      <c r="E51" s="264"/>
      <c r="F51" s="264"/>
      <c r="G51" s="264"/>
      <c r="H51" s="264"/>
      <c r="I51" s="271" t="e">
        <f>"berechneter Restwert in % (Mindestrestwert 30%): "&amp;ROUND('SW-NHK'!F77,1)&amp;"%"</f>
        <v>#N/A</v>
      </c>
      <c r="J51" s="264"/>
      <c r="K51" s="265" t="s">
        <v>60</v>
      </c>
      <c r="L51" s="335" t="e">
        <f>'SW-NHK'!F77/100</f>
        <v>#N/A</v>
      </c>
      <c r="M51" s="253"/>
    </row>
    <row r="52" spans="1:13" x14ac:dyDescent="0.2">
      <c r="A52" s="253"/>
      <c r="B52" s="263"/>
      <c r="C52" s="264"/>
      <c r="D52" s="264"/>
      <c r="E52" s="264"/>
      <c r="F52" s="264"/>
      <c r="G52" s="264"/>
      <c r="H52" s="271"/>
      <c r="I52" s="277"/>
      <c r="J52" s="264"/>
      <c r="K52" s="265"/>
      <c r="L52" s="273"/>
      <c r="M52" s="253"/>
    </row>
    <row r="53" spans="1:13" x14ac:dyDescent="0.2">
      <c r="A53" s="253"/>
      <c r="B53" s="263"/>
      <c r="C53" s="264"/>
      <c r="D53" s="264"/>
      <c r="E53" s="264"/>
      <c r="F53" s="264"/>
      <c r="G53" s="264"/>
      <c r="H53" s="271"/>
      <c r="I53" s="264"/>
      <c r="J53" s="265" t="s">
        <v>221</v>
      </c>
      <c r="K53" s="265" t="s">
        <v>61</v>
      </c>
      <c r="L53" s="295" t="e">
        <f>'SW-NHK'!F78</f>
        <v>#N/A</v>
      </c>
      <c r="M53" s="253"/>
    </row>
    <row r="54" spans="1:13" hidden="1" x14ac:dyDescent="0.2">
      <c r="A54" s="253"/>
      <c r="B54" s="263"/>
      <c r="C54" s="264"/>
      <c r="D54" s="264"/>
      <c r="E54" s="264"/>
      <c r="F54" s="264"/>
      <c r="G54" s="264"/>
      <c r="H54" s="264"/>
      <c r="I54" s="264"/>
      <c r="J54" s="264"/>
      <c r="K54" s="271"/>
      <c r="L54" s="272"/>
      <c r="M54" s="253"/>
    </row>
    <row r="55" spans="1:13" hidden="1" x14ac:dyDescent="0.2">
      <c r="A55" s="253"/>
      <c r="B55" s="263"/>
      <c r="C55" s="264"/>
      <c r="D55" s="264"/>
      <c r="E55" s="264"/>
      <c r="F55" s="264"/>
      <c r="G55" s="264"/>
      <c r="H55" s="264"/>
      <c r="I55" s="264"/>
      <c r="J55" s="264"/>
      <c r="K55" s="271"/>
      <c r="L55" s="272"/>
      <c r="M55" s="253"/>
    </row>
    <row r="56" spans="1:13" hidden="1" x14ac:dyDescent="0.2">
      <c r="A56" s="253"/>
      <c r="B56" s="263"/>
      <c r="C56" s="264"/>
      <c r="D56" s="264"/>
      <c r="E56" s="264"/>
      <c r="F56" s="264"/>
      <c r="G56" s="264"/>
      <c r="H56" s="264"/>
      <c r="I56" s="264"/>
      <c r="J56" s="264"/>
      <c r="K56" s="271"/>
      <c r="L56" s="272"/>
      <c r="M56" s="253"/>
    </row>
    <row r="57" spans="1:13" hidden="1" x14ac:dyDescent="0.2">
      <c r="A57" s="253"/>
      <c r="B57" s="263"/>
      <c r="C57" s="264"/>
      <c r="D57" s="264"/>
      <c r="E57" s="264"/>
      <c r="F57" s="264"/>
      <c r="G57" s="264"/>
      <c r="H57" s="264"/>
      <c r="I57" s="264"/>
      <c r="J57" s="264"/>
      <c r="K57" s="271"/>
      <c r="L57" s="272"/>
      <c r="M57" s="253"/>
    </row>
    <row r="58" spans="1:13" hidden="1" x14ac:dyDescent="0.2">
      <c r="A58" s="253"/>
      <c r="B58" s="263"/>
      <c r="C58" s="264"/>
      <c r="D58" s="264"/>
      <c r="E58" s="264"/>
      <c r="F58" s="264"/>
      <c r="G58" s="264"/>
      <c r="H58" s="264"/>
      <c r="I58" s="264"/>
      <c r="J58" s="264"/>
      <c r="K58" s="271"/>
      <c r="L58" s="272"/>
      <c r="M58" s="253"/>
    </row>
    <row r="59" spans="1:13" hidden="1" x14ac:dyDescent="0.2">
      <c r="A59" s="253"/>
      <c r="B59" s="263"/>
      <c r="C59" s="264"/>
      <c r="D59" s="264"/>
      <c r="E59" s="264"/>
      <c r="F59" s="264"/>
      <c r="G59" s="264"/>
      <c r="H59" s="264"/>
      <c r="I59" s="264"/>
      <c r="J59" s="264"/>
      <c r="K59" s="271"/>
      <c r="L59" s="272"/>
      <c r="M59" s="253"/>
    </row>
    <row r="60" spans="1:13" hidden="1" x14ac:dyDescent="0.2">
      <c r="A60" s="253"/>
      <c r="B60" s="263"/>
      <c r="C60" s="264"/>
      <c r="D60" s="264"/>
      <c r="E60" s="264"/>
      <c r="F60" s="264"/>
      <c r="G60" s="264"/>
      <c r="H60" s="264"/>
      <c r="I60" s="264"/>
      <c r="J60" s="264"/>
      <c r="K60" s="271"/>
      <c r="L60" s="272"/>
      <c r="M60" s="253"/>
    </row>
    <row r="61" spans="1:13" hidden="1" x14ac:dyDescent="0.2">
      <c r="A61" s="253"/>
      <c r="B61" s="263"/>
      <c r="C61" s="264"/>
      <c r="D61" s="264"/>
      <c r="E61" s="264"/>
      <c r="F61" s="264"/>
      <c r="G61" s="264"/>
      <c r="H61" s="264"/>
      <c r="I61" s="264"/>
      <c r="J61" s="264"/>
      <c r="K61" s="271"/>
      <c r="L61" s="272"/>
      <c r="M61" s="253"/>
    </row>
    <row r="62" spans="1:13" hidden="1" x14ac:dyDescent="0.2">
      <c r="A62" s="253"/>
      <c r="B62" s="263"/>
      <c r="C62" s="264"/>
      <c r="D62" s="264"/>
      <c r="E62" s="264"/>
      <c r="F62" s="264"/>
      <c r="G62" s="264"/>
      <c r="H62" s="264"/>
      <c r="I62" s="264"/>
      <c r="J62" s="264"/>
      <c r="K62" s="271"/>
      <c r="L62" s="272"/>
      <c r="M62" s="253"/>
    </row>
    <row r="63" spans="1:13" hidden="1" x14ac:dyDescent="0.2">
      <c r="A63" s="253"/>
      <c r="B63" s="263"/>
      <c r="C63" s="264"/>
      <c r="D63" s="264"/>
      <c r="E63" s="264"/>
      <c r="F63" s="264"/>
      <c r="G63" s="264"/>
      <c r="H63" s="264"/>
      <c r="I63" s="264"/>
      <c r="J63" s="264"/>
      <c r="K63" s="271"/>
      <c r="L63" s="272"/>
      <c r="M63" s="253"/>
    </row>
    <row r="64" spans="1:13" hidden="1" x14ac:dyDescent="0.2">
      <c r="A64" s="253"/>
      <c r="B64" s="263"/>
      <c r="C64" s="264"/>
      <c r="D64" s="264"/>
      <c r="E64" s="264"/>
      <c r="F64" s="264"/>
      <c r="G64" s="264"/>
      <c r="H64" s="264"/>
      <c r="I64" s="264"/>
      <c r="J64" s="264"/>
      <c r="K64" s="271"/>
      <c r="L64" s="272"/>
      <c r="M64" s="253"/>
    </row>
    <row r="65" spans="1:14" hidden="1" x14ac:dyDescent="0.2">
      <c r="A65" s="253"/>
      <c r="B65" s="263"/>
      <c r="C65" s="264"/>
      <c r="D65" s="264"/>
      <c r="E65" s="264"/>
      <c r="F65" s="264"/>
      <c r="G65" s="264"/>
      <c r="H65" s="264"/>
      <c r="I65" s="264"/>
      <c r="J65" s="264"/>
      <c r="K65" s="271"/>
      <c r="L65" s="272"/>
      <c r="M65" s="253"/>
    </row>
    <row r="66" spans="1:14" x14ac:dyDescent="0.2">
      <c r="A66" s="253"/>
      <c r="B66" s="263"/>
      <c r="C66" s="266"/>
      <c r="D66" s="266"/>
      <c r="E66" s="266"/>
      <c r="F66" s="266"/>
      <c r="G66" s="266"/>
      <c r="H66" s="266"/>
      <c r="I66" s="264"/>
      <c r="J66" s="267"/>
      <c r="K66" s="265"/>
      <c r="L66" s="270"/>
      <c r="M66" s="253"/>
    </row>
    <row r="67" spans="1:14" x14ac:dyDescent="0.2">
      <c r="A67" s="253"/>
      <c r="B67" s="263"/>
      <c r="C67" s="260"/>
      <c r="D67" s="260"/>
      <c r="E67" s="260"/>
      <c r="F67" s="260"/>
      <c r="G67" s="260"/>
      <c r="H67" s="260"/>
      <c r="I67" s="260"/>
      <c r="J67" s="268"/>
      <c r="K67" s="269"/>
      <c r="L67" s="270"/>
      <c r="M67" s="253"/>
    </row>
    <row r="68" spans="1:14" x14ac:dyDescent="0.2">
      <c r="A68" s="253"/>
      <c r="B68" s="263"/>
      <c r="C68" s="264"/>
      <c r="D68" s="264"/>
      <c r="E68" s="264"/>
      <c r="F68" s="264"/>
      <c r="G68" s="264"/>
      <c r="H68" s="264"/>
      <c r="I68" s="264"/>
      <c r="J68" s="264"/>
      <c r="K68" s="271"/>
      <c r="L68" s="272"/>
      <c r="M68" s="253"/>
    </row>
    <row r="69" spans="1:14" ht="28.9" customHeight="1" x14ac:dyDescent="0.2">
      <c r="A69" s="253"/>
      <c r="B69" s="303" t="s">
        <v>203</v>
      </c>
      <c r="C69" s="815" t="s">
        <v>225</v>
      </c>
      <c r="D69" s="815"/>
      <c r="E69" s="815"/>
      <c r="F69" s="815"/>
      <c r="G69" s="815"/>
      <c r="H69" s="815"/>
      <c r="I69" s="815"/>
      <c r="J69" s="815"/>
      <c r="K69" s="271"/>
      <c r="L69" s="272"/>
      <c r="M69" s="253"/>
    </row>
    <row r="70" spans="1:14" ht="6.6" customHeight="1" x14ac:dyDescent="0.2">
      <c r="A70" s="253"/>
      <c r="B70" s="263"/>
      <c r="C70" s="264"/>
      <c r="D70" s="264"/>
      <c r="E70" s="264"/>
      <c r="F70" s="264"/>
      <c r="G70" s="264"/>
      <c r="H70" s="264"/>
      <c r="I70" s="264"/>
      <c r="J70" s="264"/>
      <c r="K70" s="271"/>
      <c r="L70" s="272"/>
      <c r="M70" s="253"/>
    </row>
    <row r="71" spans="1:14" ht="21" customHeight="1" x14ac:dyDescent="0.2">
      <c r="A71" s="253"/>
      <c r="B71" s="263"/>
      <c r="C71" s="264"/>
      <c r="D71" s="278"/>
      <c r="E71" s="814" t="s">
        <v>122</v>
      </c>
      <c r="F71" s="814"/>
      <c r="G71" s="814" t="s">
        <v>123</v>
      </c>
      <c r="H71" s="814"/>
      <c r="I71" s="264"/>
      <c r="J71" s="264"/>
      <c r="K71" s="271"/>
      <c r="L71" s="272"/>
      <c r="M71" s="253"/>
    </row>
    <row r="72" spans="1:14" x14ac:dyDescent="0.2">
      <c r="A72" s="253"/>
      <c r="B72" s="263"/>
      <c r="C72" s="264"/>
      <c r="D72" s="279" t="e">
        <f>VLOOKUP(KPA!G10,'SW-Bau-Index'!A8:E71,1,FALSE)</f>
        <v>#N/A</v>
      </c>
      <c r="E72" s="808" t="e">
        <f>'SW-Bau-Index'!D73</f>
        <v>#N/A</v>
      </c>
      <c r="F72" s="809"/>
      <c r="G72" s="808" t="e">
        <f>'SW-Bau-Index'!E73</f>
        <v>#N/A</v>
      </c>
      <c r="H72" s="809"/>
      <c r="I72" s="264"/>
      <c r="J72" s="264"/>
      <c r="K72" s="271"/>
      <c r="L72" s="272"/>
      <c r="M72" s="253"/>
    </row>
    <row r="73" spans="1:14" x14ac:dyDescent="0.2">
      <c r="A73" s="253"/>
      <c r="B73" s="263"/>
      <c r="C73" s="264"/>
      <c r="D73" s="264"/>
      <c r="E73" s="264"/>
      <c r="F73" s="264"/>
      <c r="G73" s="264"/>
      <c r="H73" s="264"/>
      <c r="I73" s="264"/>
      <c r="J73" s="264"/>
      <c r="K73" s="271"/>
      <c r="L73" s="272"/>
      <c r="M73" s="253"/>
    </row>
    <row r="74" spans="1:14" x14ac:dyDescent="0.2">
      <c r="A74" s="253"/>
      <c r="B74" s="263"/>
      <c r="C74" s="264"/>
      <c r="D74" s="264"/>
      <c r="E74" s="264"/>
      <c r="F74" s="264"/>
      <c r="G74" s="271"/>
      <c r="H74" s="271" t="str">
        <f>IF(KPA!E7="Geschäftsgrundstücke, Geschäftshäuser","Es handelt sich hier um ein Nichtwohngebäude bzw. Bürogebäude.",IF(KPA!E7="Geschäftsgrundstücke, Bürogebäude","Es handelt sich hier um ein Nichtwohngebäude bzw. Bürogebäude.",IF(KPA!E7="Teileigentum: gemischt genutzte Grundstücke ","Es handelt sich hier um ein Nichtwohngebäude bzw. Bürogebäude.",IF(KPA!E7="Teileigentum: Geschäftsgrundstücke (Geschäfts.)","Es handelt sich hier um ein Nichtwohngebäude bzw. Bürogebäude.",IF(KPA!E7="Teileigentum: Geschäftsgrundstücke (Bürog.) ","Es handelt sich hier um ein Nichtwohngebäude bzw. Bürogebäude.","Es handelt sich hier um ein Wohngebäude.")))))</f>
        <v>Es handelt sich hier um ein Wohngebäude.</v>
      </c>
      <c r="I74" s="264"/>
      <c r="J74" s="264"/>
      <c r="K74" s="271"/>
      <c r="L74" s="272"/>
      <c r="M74" s="253"/>
    </row>
    <row r="75" spans="1:14" x14ac:dyDescent="0.2">
      <c r="A75" s="253"/>
      <c r="B75" s="263"/>
      <c r="C75" s="264"/>
      <c r="D75" s="264"/>
      <c r="E75" s="264"/>
      <c r="F75" s="264"/>
      <c r="G75" s="271"/>
      <c r="H75" s="289" t="e">
        <f>"Der maßgeblicher Baupreisindex ist somit für das o.g. Objekt: "&amp;'SW-NHK'!F79</f>
        <v>#N/A</v>
      </c>
      <c r="I75" s="264"/>
      <c r="J75" s="264"/>
      <c r="K75" s="265" t="s">
        <v>60</v>
      </c>
      <c r="L75" s="335" t="e">
        <f>'SW-NHK'!F79/100</f>
        <v>#N/A</v>
      </c>
      <c r="M75" s="253"/>
    </row>
    <row r="76" spans="1:14" x14ac:dyDescent="0.2">
      <c r="A76" s="253"/>
      <c r="B76" s="263"/>
      <c r="C76" s="266"/>
      <c r="D76" s="266"/>
      <c r="E76" s="266"/>
      <c r="F76" s="266"/>
      <c r="G76" s="266"/>
      <c r="H76" s="266"/>
      <c r="I76" s="264"/>
      <c r="J76" s="267"/>
      <c r="K76" s="265"/>
      <c r="L76" s="270"/>
      <c r="M76" s="253"/>
    </row>
    <row r="77" spans="1:14" x14ac:dyDescent="0.2">
      <c r="A77" s="253"/>
      <c r="B77" s="263"/>
      <c r="C77" s="260"/>
      <c r="D77" s="260"/>
      <c r="E77" s="260"/>
      <c r="F77" s="260"/>
      <c r="G77" s="260"/>
      <c r="H77" s="260"/>
      <c r="I77" s="260"/>
      <c r="J77" s="268"/>
      <c r="K77" s="269"/>
      <c r="L77" s="270"/>
      <c r="M77" s="253"/>
    </row>
    <row r="78" spans="1:14" s="302" customFormat="1" ht="30.6" customHeight="1" x14ac:dyDescent="0.2">
      <c r="A78" s="296"/>
      <c r="B78" s="297" t="s">
        <v>210</v>
      </c>
      <c r="C78" s="298" t="s">
        <v>211</v>
      </c>
      <c r="D78" s="298"/>
      <c r="E78" s="298"/>
      <c r="F78" s="298"/>
      <c r="G78" s="298"/>
      <c r="H78" s="298"/>
      <c r="I78" s="298"/>
      <c r="J78" s="299" t="s">
        <v>211</v>
      </c>
      <c r="K78" s="300" t="s">
        <v>61</v>
      </c>
      <c r="L78" s="305" t="e">
        <f>'SW-NHK'!F80</f>
        <v>#N/A</v>
      </c>
      <c r="M78" s="296"/>
      <c r="N78" s="301"/>
    </row>
    <row r="79" spans="1:14" x14ac:dyDescent="0.2">
      <c r="A79" s="253"/>
      <c r="B79" s="280"/>
      <c r="C79" s="281"/>
      <c r="D79" s="281"/>
      <c r="E79" s="281"/>
      <c r="F79" s="281"/>
      <c r="G79" s="281"/>
      <c r="H79" s="281"/>
      <c r="I79" s="281"/>
      <c r="J79" s="281"/>
      <c r="K79" s="282"/>
      <c r="L79" s="283"/>
      <c r="M79" s="253"/>
    </row>
    <row r="80" spans="1:14" x14ac:dyDescent="0.2">
      <c r="A80" s="253"/>
      <c r="B80" s="253"/>
      <c r="C80" s="253"/>
      <c r="D80" s="253"/>
      <c r="E80" s="253"/>
      <c r="F80" s="253"/>
      <c r="G80" s="253"/>
      <c r="H80" s="253"/>
      <c r="I80" s="253"/>
      <c r="J80" s="253"/>
      <c r="K80" s="254"/>
      <c r="L80" s="253"/>
      <c r="M80" s="253"/>
    </row>
    <row r="81" spans="1:13" s="291" customFormat="1" ht="104.45" customHeight="1" x14ac:dyDescent="0.2">
      <c r="K81" s="292"/>
    </row>
    <row r="82" spans="1:13" x14ac:dyDescent="0.2">
      <c r="A82" s="291"/>
      <c r="B82" s="291"/>
      <c r="C82" s="291"/>
      <c r="D82" s="291"/>
      <c r="E82" s="291"/>
      <c r="F82" s="291"/>
      <c r="G82" s="291"/>
      <c r="H82" s="291"/>
      <c r="I82" s="291"/>
      <c r="J82" s="291"/>
      <c r="K82" s="292"/>
      <c r="L82" s="291"/>
      <c r="M82" s="291"/>
    </row>
    <row r="83" spans="1:13" x14ac:dyDescent="0.2">
      <c r="A83" s="291"/>
      <c r="B83" s="291"/>
      <c r="C83" s="291"/>
      <c r="D83" s="291"/>
      <c r="E83" s="291"/>
      <c r="F83" s="291"/>
      <c r="G83" s="291"/>
      <c r="H83" s="291"/>
      <c r="I83" s="291"/>
      <c r="J83" s="291"/>
      <c r="K83" s="292"/>
      <c r="L83" s="291"/>
      <c r="M83" s="291"/>
    </row>
    <row r="84" spans="1:13" x14ac:dyDescent="0.2">
      <c r="A84" s="291"/>
      <c r="B84" s="291"/>
      <c r="C84" s="291"/>
      <c r="D84" s="291"/>
      <c r="E84" s="291"/>
      <c r="F84" s="291"/>
      <c r="G84" s="291"/>
      <c r="H84" s="291"/>
      <c r="I84" s="291"/>
      <c r="J84" s="291"/>
      <c r="K84" s="292"/>
      <c r="L84" s="291"/>
      <c r="M84" s="291"/>
    </row>
    <row r="85" spans="1:13" x14ac:dyDescent="0.2">
      <c r="A85" s="291"/>
      <c r="B85" s="291"/>
      <c r="C85" s="291"/>
      <c r="D85" s="291"/>
      <c r="E85" s="291"/>
      <c r="F85" s="291"/>
      <c r="G85" s="291"/>
      <c r="H85" s="291"/>
      <c r="I85" s="291"/>
      <c r="J85" s="291"/>
      <c r="K85" s="292"/>
      <c r="L85" s="291"/>
      <c r="M85" s="291"/>
    </row>
    <row r="86" spans="1:13" x14ac:dyDescent="0.2">
      <c r="A86" s="291"/>
      <c r="B86" s="291"/>
      <c r="C86" s="291"/>
      <c r="D86" s="291"/>
      <c r="E86" s="291"/>
      <c r="F86" s="291"/>
      <c r="G86" s="291"/>
      <c r="H86" s="291"/>
      <c r="I86" s="291"/>
      <c r="J86" s="291"/>
      <c r="K86" s="292"/>
      <c r="L86" s="291"/>
      <c r="M86" s="291"/>
    </row>
    <row r="87" spans="1:13" x14ac:dyDescent="0.2">
      <c r="A87" s="291"/>
      <c r="B87" s="291"/>
      <c r="C87" s="291"/>
      <c r="D87" s="291"/>
      <c r="E87" s="291"/>
      <c r="F87" s="291"/>
      <c r="G87" s="291"/>
      <c r="H87" s="291"/>
      <c r="I87" s="291"/>
      <c r="J87" s="291"/>
      <c r="K87" s="292"/>
      <c r="L87" s="291"/>
      <c r="M87" s="291"/>
    </row>
    <row r="88" spans="1:13" x14ac:dyDescent="0.2">
      <c r="A88" s="291"/>
      <c r="B88" s="291"/>
      <c r="C88" s="291"/>
      <c r="D88" s="291"/>
      <c r="E88" s="291"/>
      <c r="F88" s="291"/>
      <c r="G88" s="291"/>
      <c r="H88" s="291"/>
      <c r="I88" s="291"/>
      <c r="J88" s="291"/>
      <c r="K88" s="292"/>
      <c r="L88" s="291"/>
      <c r="M88" s="291"/>
    </row>
    <row r="89" spans="1:13" x14ac:dyDescent="0.2">
      <c r="A89" s="291"/>
      <c r="B89" s="291"/>
      <c r="C89" s="291"/>
      <c r="D89" s="291"/>
      <c r="E89" s="291"/>
      <c r="F89" s="291"/>
      <c r="G89" s="291"/>
      <c r="H89" s="291"/>
      <c r="I89" s="291"/>
      <c r="J89" s="291"/>
      <c r="K89" s="292"/>
      <c r="L89" s="291"/>
      <c r="M89" s="291"/>
    </row>
    <row r="90" spans="1:13" x14ac:dyDescent="0.2">
      <c r="A90" s="291"/>
      <c r="B90" s="291"/>
      <c r="C90" s="291"/>
      <c r="D90" s="291"/>
      <c r="E90" s="291"/>
      <c r="F90" s="291"/>
      <c r="G90" s="291"/>
      <c r="H90" s="291"/>
      <c r="I90" s="291"/>
      <c r="J90" s="291"/>
      <c r="K90" s="292"/>
      <c r="L90" s="291"/>
      <c r="M90" s="291"/>
    </row>
    <row r="91" spans="1:13" x14ac:dyDescent="0.2">
      <c r="A91" s="291"/>
      <c r="B91" s="291"/>
      <c r="C91" s="291"/>
      <c r="D91" s="291"/>
      <c r="E91" s="291"/>
      <c r="F91" s="291"/>
      <c r="G91" s="291"/>
      <c r="H91" s="291"/>
      <c r="I91" s="291"/>
      <c r="J91" s="291"/>
      <c r="K91" s="292"/>
      <c r="L91" s="291"/>
      <c r="M91" s="291"/>
    </row>
    <row r="92" spans="1:13" x14ac:dyDescent="0.2">
      <c r="A92" s="291"/>
      <c r="B92" s="291"/>
      <c r="C92" s="291"/>
      <c r="D92" s="291"/>
      <c r="E92" s="291"/>
      <c r="F92" s="291"/>
      <c r="G92" s="291"/>
      <c r="H92" s="291"/>
      <c r="I92" s="291"/>
      <c r="J92" s="291"/>
      <c r="K92" s="292"/>
      <c r="L92" s="291"/>
      <c r="M92" s="291"/>
    </row>
    <row r="93" spans="1:13" x14ac:dyDescent="0.2">
      <c r="A93" s="291"/>
      <c r="B93" s="291"/>
      <c r="C93" s="291"/>
      <c r="D93" s="291"/>
      <c r="E93" s="291"/>
      <c r="F93" s="291"/>
      <c r="G93" s="291"/>
      <c r="H93" s="291"/>
      <c r="I93" s="291"/>
      <c r="J93" s="291"/>
      <c r="K93" s="292"/>
      <c r="L93" s="291"/>
      <c r="M93" s="291"/>
    </row>
    <row r="94" spans="1:13" x14ac:dyDescent="0.2">
      <c r="A94" s="291"/>
      <c r="B94" s="291"/>
      <c r="C94" s="291"/>
      <c r="D94" s="291"/>
      <c r="E94" s="291"/>
      <c r="F94" s="291"/>
      <c r="G94" s="291"/>
      <c r="H94" s="291"/>
      <c r="I94" s="291"/>
      <c r="J94" s="291"/>
      <c r="K94" s="292"/>
      <c r="L94" s="291"/>
      <c r="M94" s="291"/>
    </row>
    <row r="95" spans="1:13" x14ac:dyDescent="0.2">
      <c r="A95" s="291"/>
      <c r="B95" s="291"/>
      <c r="C95" s="291"/>
      <c r="D95" s="291"/>
      <c r="E95" s="291"/>
      <c r="F95" s="291"/>
      <c r="G95" s="291"/>
      <c r="H95" s="291"/>
      <c r="I95" s="291"/>
      <c r="J95" s="291"/>
      <c r="K95" s="292"/>
      <c r="L95" s="291"/>
      <c r="M95" s="291"/>
    </row>
    <row r="96" spans="1:13" x14ac:dyDescent="0.2">
      <c r="A96" s="291"/>
      <c r="B96" s="291"/>
      <c r="C96" s="291"/>
      <c r="D96" s="291"/>
      <c r="E96" s="291"/>
      <c r="F96" s="291"/>
      <c r="G96" s="291"/>
      <c r="H96" s="291"/>
      <c r="I96" s="291"/>
      <c r="J96" s="291"/>
      <c r="K96" s="292"/>
      <c r="L96" s="291"/>
      <c r="M96" s="291"/>
    </row>
    <row r="97" spans="1:13" x14ac:dyDescent="0.2">
      <c r="A97" s="291"/>
      <c r="B97" s="291"/>
      <c r="C97" s="291"/>
      <c r="D97" s="291"/>
      <c r="E97" s="291"/>
      <c r="F97" s="291"/>
      <c r="G97" s="291"/>
      <c r="H97" s="291"/>
      <c r="I97" s="291"/>
      <c r="J97" s="291"/>
      <c r="K97" s="292"/>
      <c r="L97" s="291"/>
      <c r="M97" s="291"/>
    </row>
    <row r="98" spans="1:13" x14ac:dyDescent="0.2">
      <c r="A98" s="291"/>
      <c r="B98" s="291"/>
      <c r="C98" s="291"/>
      <c r="D98" s="291"/>
      <c r="E98" s="291"/>
      <c r="F98" s="291"/>
      <c r="G98" s="291"/>
      <c r="H98" s="291"/>
      <c r="I98" s="291"/>
      <c r="J98" s="291"/>
      <c r="K98" s="292"/>
      <c r="L98" s="291"/>
      <c r="M98" s="291"/>
    </row>
    <row r="99" spans="1:13" x14ac:dyDescent="0.2">
      <c r="A99" s="291"/>
      <c r="B99" s="291"/>
      <c r="C99" s="291"/>
      <c r="D99" s="291"/>
      <c r="E99" s="291"/>
      <c r="F99" s="291"/>
      <c r="G99" s="291"/>
      <c r="H99" s="291"/>
      <c r="I99" s="291"/>
      <c r="J99" s="291"/>
      <c r="K99" s="292"/>
      <c r="L99" s="291"/>
      <c r="M99" s="291"/>
    </row>
    <row r="100" spans="1:13" x14ac:dyDescent="0.2">
      <c r="A100" s="291"/>
      <c r="B100" s="291"/>
      <c r="C100" s="291"/>
      <c r="D100" s="291"/>
      <c r="E100" s="291"/>
      <c r="F100" s="291"/>
      <c r="G100" s="291"/>
      <c r="H100" s="291"/>
      <c r="I100" s="291"/>
      <c r="J100" s="291"/>
      <c r="K100" s="292"/>
      <c r="L100" s="291"/>
      <c r="M100" s="291"/>
    </row>
    <row r="101" spans="1:13" x14ac:dyDescent="0.2">
      <c r="A101" s="291"/>
      <c r="B101" s="291"/>
      <c r="C101" s="291"/>
      <c r="D101" s="291"/>
      <c r="E101" s="291"/>
      <c r="F101" s="291"/>
      <c r="G101" s="291"/>
      <c r="H101" s="291"/>
      <c r="I101" s="291"/>
      <c r="J101" s="291"/>
      <c r="K101" s="292"/>
      <c r="L101" s="291"/>
      <c r="M101" s="291"/>
    </row>
    <row r="102" spans="1:13" x14ac:dyDescent="0.2">
      <c r="A102" s="291"/>
      <c r="B102" s="291"/>
      <c r="C102" s="291"/>
      <c r="D102" s="291"/>
      <c r="E102" s="291"/>
      <c r="F102" s="291"/>
      <c r="G102" s="291"/>
      <c r="H102" s="291"/>
      <c r="I102" s="291"/>
      <c r="J102" s="291"/>
      <c r="K102" s="292"/>
      <c r="L102" s="291"/>
      <c r="M102" s="291"/>
    </row>
    <row r="103" spans="1:13" x14ac:dyDescent="0.2">
      <c r="A103" s="291"/>
      <c r="B103" s="291"/>
      <c r="C103" s="291"/>
      <c r="D103" s="291"/>
      <c r="E103" s="291"/>
      <c r="F103" s="291"/>
      <c r="G103" s="291"/>
      <c r="H103" s="291"/>
      <c r="I103" s="291"/>
      <c r="J103" s="291"/>
      <c r="K103" s="292"/>
      <c r="L103" s="291"/>
      <c r="M103" s="291"/>
    </row>
    <row r="104" spans="1:13" x14ac:dyDescent="0.2">
      <c r="A104" s="291"/>
      <c r="B104" s="291"/>
      <c r="C104" s="291"/>
      <c r="D104" s="291"/>
      <c r="E104" s="291"/>
      <c r="F104" s="291"/>
      <c r="G104" s="291"/>
      <c r="H104" s="291"/>
      <c r="I104" s="291"/>
      <c r="J104" s="291"/>
      <c r="K104" s="292"/>
      <c r="L104" s="291"/>
      <c r="M104" s="291"/>
    </row>
    <row r="105" spans="1:13" x14ac:dyDescent="0.2">
      <c r="A105" s="291"/>
      <c r="B105" s="291"/>
      <c r="C105" s="291"/>
      <c r="D105" s="291"/>
      <c r="E105" s="291"/>
      <c r="F105" s="291"/>
      <c r="G105" s="291"/>
      <c r="H105" s="291"/>
      <c r="I105" s="291"/>
      <c r="J105" s="291"/>
      <c r="K105" s="292"/>
      <c r="L105" s="291"/>
      <c r="M105" s="291"/>
    </row>
    <row r="106" spans="1:13" x14ac:dyDescent="0.2">
      <c r="A106" s="291"/>
      <c r="B106" s="291"/>
      <c r="C106" s="291"/>
      <c r="D106" s="291"/>
      <c r="E106" s="291"/>
      <c r="F106" s="291"/>
      <c r="G106" s="291"/>
      <c r="H106" s="291"/>
      <c r="I106" s="291"/>
      <c r="J106" s="291"/>
      <c r="K106" s="292"/>
      <c r="L106" s="291"/>
      <c r="M106" s="291"/>
    </row>
    <row r="107" spans="1:13" x14ac:dyDescent="0.2">
      <c r="A107" s="291"/>
      <c r="B107" s="291"/>
      <c r="C107" s="291"/>
      <c r="D107" s="291"/>
      <c r="E107" s="291"/>
      <c r="F107" s="291"/>
      <c r="G107" s="291"/>
      <c r="H107" s="291"/>
      <c r="I107" s="291"/>
      <c r="J107" s="291"/>
      <c r="K107" s="292"/>
      <c r="L107" s="291"/>
      <c r="M107" s="291"/>
    </row>
    <row r="108" spans="1:13" x14ac:dyDescent="0.2">
      <c r="A108" s="291"/>
      <c r="B108" s="291"/>
      <c r="C108" s="291"/>
      <c r="D108" s="291"/>
      <c r="E108" s="291"/>
      <c r="F108" s="291"/>
      <c r="G108" s="291"/>
      <c r="H108" s="291"/>
      <c r="I108" s="291"/>
      <c r="J108" s="291"/>
      <c r="K108" s="292"/>
      <c r="L108" s="291"/>
      <c r="M108" s="291"/>
    </row>
    <row r="109" spans="1:13" x14ac:dyDescent="0.2">
      <c r="A109" s="291"/>
      <c r="B109" s="291"/>
      <c r="C109" s="291"/>
      <c r="D109" s="291"/>
      <c r="E109" s="291"/>
      <c r="F109" s="291"/>
      <c r="G109" s="291"/>
      <c r="H109" s="291"/>
      <c r="I109" s="291"/>
      <c r="J109" s="291"/>
      <c r="K109" s="292"/>
      <c r="L109" s="291"/>
      <c r="M109" s="291"/>
    </row>
    <row r="110" spans="1:13" x14ac:dyDescent="0.2">
      <c r="A110" s="291"/>
      <c r="B110" s="291"/>
      <c r="C110" s="291"/>
      <c r="D110" s="291"/>
      <c r="E110" s="291"/>
      <c r="F110" s="291"/>
      <c r="G110" s="291"/>
      <c r="H110" s="291"/>
      <c r="I110" s="291"/>
      <c r="J110" s="291"/>
      <c r="K110" s="292"/>
      <c r="L110" s="291"/>
      <c r="M110" s="291"/>
    </row>
  </sheetData>
  <mergeCells count="9">
    <mergeCell ref="E72:F72"/>
    <mergeCell ref="G72:H72"/>
    <mergeCell ref="C41:D41"/>
    <mergeCell ref="F43:G43"/>
    <mergeCell ref="I44:I45"/>
    <mergeCell ref="F46:G46"/>
    <mergeCell ref="G71:H71"/>
    <mergeCell ref="E71:F71"/>
    <mergeCell ref="C69:J69"/>
  </mergeCells>
  <conditionalFormatting sqref="E71 G71">
    <cfRule type="expression" dxfId="1" priority="3">
      <formula>$H$74="j"</formula>
    </cfRule>
  </conditionalFormatting>
  <conditionalFormatting sqref="D72">
    <cfRule type="expression" dxfId="0" priority="1">
      <formula>$I$48=2013</formula>
    </cfRule>
  </conditionalFormatting>
  <pageMargins left="0.70866141732283472" right="0.70866141732283472" top="0.78740157480314965" bottom="0.78740157480314965" header="0.31496062992125984" footer="0.31496062992125984"/>
  <pageSetup paperSize="9" scale="70" orientation="portrait" horizontalDpi="4294967293" verticalDpi="4294967293" r:id="rId1"/>
  <headerFooter>
    <oddHeader>&amp;CTHK-Erläuterung</oddHeader>
    <oddFooter>&amp;L2020</oddFooter>
  </headerFooter>
  <rowBreaks count="1" manualBreakCount="1">
    <brk id="80"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0070C0"/>
  </sheetPr>
  <dimension ref="A1:Q80"/>
  <sheetViews>
    <sheetView view="pageBreakPreview" zoomScaleNormal="100" zoomScaleSheetLayoutView="100" workbookViewId="0">
      <selection activeCell="D6" sqref="D6"/>
    </sheetView>
  </sheetViews>
  <sheetFormatPr baseColWidth="10" defaultColWidth="11.5703125" defaultRowHeight="12.75" x14ac:dyDescent="0.2"/>
  <cols>
    <col min="1" max="1" width="1" style="61" customWidth="1"/>
    <col min="2" max="2" width="8.140625" style="61" customWidth="1"/>
    <col min="3" max="3" width="40.5703125" style="61" hidden="1" customWidth="1"/>
    <col min="4" max="4" width="43" style="61" customWidth="1"/>
    <col min="5" max="9" width="13.5703125" style="61" customWidth="1"/>
    <col min="10" max="15" width="11.5703125" style="61" customWidth="1"/>
    <col min="16" max="16" width="11.5703125" style="61"/>
    <col min="17" max="17" width="11.5703125" style="61" hidden="1" customWidth="1"/>
    <col min="18" max="16384" width="11.5703125" style="61"/>
  </cols>
  <sheetData>
    <row r="1" spans="1:17" ht="4.1500000000000004" customHeight="1" thickBot="1" x14ac:dyDescent="0.25">
      <c r="A1" s="60"/>
    </row>
    <row r="2" spans="1:17" ht="76.150000000000006" customHeight="1" thickBot="1" x14ac:dyDescent="0.25">
      <c r="A2" s="60"/>
      <c r="E2" s="821" t="s">
        <v>64</v>
      </c>
      <c r="F2" s="819"/>
      <c r="G2" s="819"/>
      <c r="H2" s="819"/>
      <c r="I2" s="819"/>
      <c r="J2" s="40" t="s">
        <v>80</v>
      </c>
      <c r="K2" s="819" t="s">
        <v>65</v>
      </c>
      <c r="L2" s="819"/>
      <c r="M2" s="819"/>
      <c r="N2" s="819"/>
      <c r="O2" s="820"/>
      <c r="Q2" s="34" t="s">
        <v>79</v>
      </c>
    </row>
    <row r="3" spans="1:17" ht="13.15" customHeight="1" x14ac:dyDescent="0.2">
      <c r="A3" s="60"/>
      <c r="B3" s="12"/>
      <c r="C3" s="13"/>
      <c r="D3" s="105"/>
      <c r="E3" s="14">
        <v>1</v>
      </c>
      <c r="F3" s="14">
        <v>2</v>
      </c>
      <c r="G3" s="15">
        <v>3</v>
      </c>
      <c r="H3" s="15">
        <v>4</v>
      </c>
      <c r="I3" s="37">
        <v>5</v>
      </c>
      <c r="J3" s="41"/>
      <c r="K3" s="93">
        <v>1</v>
      </c>
      <c r="L3" s="100">
        <v>2</v>
      </c>
      <c r="M3" s="15">
        <v>3</v>
      </c>
      <c r="N3" s="101">
        <v>4</v>
      </c>
      <c r="O3" s="98">
        <v>5</v>
      </c>
      <c r="Q3" s="35"/>
    </row>
    <row r="4" spans="1:17" ht="13.15" customHeight="1" x14ac:dyDescent="0.2">
      <c r="A4" s="60"/>
      <c r="B4" s="89"/>
      <c r="C4" s="90"/>
      <c r="D4" s="106"/>
      <c r="E4" s="91"/>
      <c r="F4" s="91"/>
      <c r="G4" s="5"/>
      <c r="H4" s="5"/>
      <c r="I4" s="5"/>
      <c r="J4" s="5"/>
      <c r="K4" s="91"/>
      <c r="L4" s="831" t="s">
        <v>101</v>
      </c>
      <c r="M4" s="832"/>
      <c r="N4" s="833"/>
      <c r="O4" s="99"/>
      <c r="Q4" s="92"/>
    </row>
    <row r="5" spans="1:17" ht="13.5" thickBot="1" x14ac:dyDescent="0.25">
      <c r="A5" s="60"/>
      <c r="B5" s="16"/>
      <c r="C5" s="4"/>
      <c r="D5" s="22"/>
      <c r="E5" s="175"/>
      <c r="F5" s="176"/>
      <c r="G5" s="176"/>
      <c r="H5" s="176"/>
      <c r="I5" s="176"/>
      <c r="J5" s="5"/>
      <c r="K5" s="94" t="s">
        <v>73</v>
      </c>
      <c r="L5" s="185" t="s">
        <v>82</v>
      </c>
      <c r="M5" s="186" t="s">
        <v>92</v>
      </c>
      <c r="N5" s="187" t="s">
        <v>91</v>
      </c>
      <c r="O5" s="188"/>
      <c r="Q5" s="36"/>
    </row>
    <row r="6" spans="1:17" s="156" customFormat="1" ht="37.5" customHeight="1" x14ac:dyDescent="0.2">
      <c r="A6" s="153"/>
      <c r="B6" s="164" t="s">
        <v>72</v>
      </c>
      <c r="C6" s="177"/>
      <c r="D6" s="178"/>
      <c r="E6" s="178">
        <v>2</v>
      </c>
      <c r="F6" s="179">
        <v>3</v>
      </c>
      <c r="G6" s="179">
        <v>4</v>
      </c>
      <c r="H6" s="179">
        <v>5</v>
      </c>
      <c r="I6" s="180">
        <v>6</v>
      </c>
      <c r="J6" s="181">
        <v>7</v>
      </c>
      <c r="K6" s="154">
        <v>8</v>
      </c>
      <c r="L6" s="171">
        <v>9</v>
      </c>
      <c r="M6" s="172">
        <v>10</v>
      </c>
      <c r="N6" s="172">
        <v>11</v>
      </c>
      <c r="O6" s="190">
        <v>12</v>
      </c>
      <c r="P6" s="191" t="s">
        <v>66</v>
      </c>
      <c r="Q6" s="155"/>
    </row>
    <row r="7" spans="1:17" s="62" customFormat="1" ht="25.5" customHeight="1" x14ac:dyDescent="0.2">
      <c r="A7" s="60"/>
      <c r="B7" s="17"/>
      <c r="C7" s="2"/>
      <c r="D7" s="2" t="s">
        <v>77</v>
      </c>
      <c r="E7" s="11">
        <f t="shared" ref="E7:O7" si="0">AVERAGE(E19:E66)</f>
        <v>662.20833333333337</v>
      </c>
      <c r="F7" s="11">
        <f t="shared" si="0"/>
        <v>735.77083333333337</v>
      </c>
      <c r="G7" s="11">
        <f t="shared" si="0"/>
        <v>845.4375</v>
      </c>
      <c r="H7" s="11">
        <f t="shared" si="0"/>
        <v>1019.0833333333334</v>
      </c>
      <c r="I7" s="11">
        <f t="shared" si="0"/>
        <v>1274.3125</v>
      </c>
      <c r="J7" s="252">
        <f>M7/G7</f>
        <v>2.0423375471279663</v>
      </c>
      <c r="K7" s="95">
        <f t="shared" si="0"/>
        <v>1404.9916666666668</v>
      </c>
      <c r="L7" s="102">
        <f t="shared" si="0"/>
        <v>1502.7625</v>
      </c>
      <c r="M7" s="32">
        <f t="shared" si="0"/>
        <v>1726.66875</v>
      </c>
      <c r="N7" s="32">
        <f t="shared" si="0"/>
        <v>2081.5958333333333</v>
      </c>
      <c r="O7" s="189">
        <f t="shared" si="0"/>
        <v>2602.9458333333332</v>
      </c>
      <c r="P7" s="192">
        <v>80</v>
      </c>
      <c r="Q7" s="182" t="s">
        <v>81</v>
      </c>
    </row>
    <row r="8" spans="1:17" s="62" customFormat="1" ht="25.5" customHeight="1" x14ac:dyDescent="0.2">
      <c r="A8" s="60"/>
      <c r="B8" s="18" t="s">
        <v>53</v>
      </c>
      <c r="C8" s="1" t="s">
        <v>54</v>
      </c>
      <c r="D8" s="1" t="s">
        <v>78</v>
      </c>
      <c r="E8" s="63">
        <f t="shared" ref="E8:E17" si="1">ROUND(E$7/G$7*G8,0)</f>
        <v>646</v>
      </c>
      <c r="F8" s="63">
        <f t="shared" ref="F8:F17" si="2">ROUND(F$7/G$7*G8,0)</f>
        <v>718</v>
      </c>
      <c r="G8" s="57">
        <v>825</v>
      </c>
      <c r="H8" s="57">
        <v>985</v>
      </c>
      <c r="I8" s="58">
        <v>1190</v>
      </c>
      <c r="J8" s="42">
        <f>ROUND((1.8+1.9+2.1)/3,1)</f>
        <v>1.9</v>
      </c>
      <c r="K8" s="96">
        <f t="shared" ref="K8:O17" si="3">E8*$J8</f>
        <v>1227.3999999999999</v>
      </c>
      <c r="L8" s="103">
        <f t="shared" si="3"/>
        <v>1364.2</v>
      </c>
      <c r="M8" s="59">
        <f t="shared" si="3"/>
        <v>1567.5</v>
      </c>
      <c r="N8" s="59">
        <f t="shared" si="3"/>
        <v>1871.5</v>
      </c>
      <c r="O8" s="189">
        <f t="shared" si="3"/>
        <v>2261</v>
      </c>
      <c r="P8" s="192">
        <v>80</v>
      </c>
      <c r="Q8" s="182" t="s">
        <v>81</v>
      </c>
    </row>
    <row r="9" spans="1:17" s="62" customFormat="1" ht="25.5" customHeight="1" x14ac:dyDescent="0.2">
      <c r="A9" s="60"/>
      <c r="B9" s="18"/>
      <c r="C9" s="1"/>
      <c r="D9" s="1" t="s">
        <v>172</v>
      </c>
      <c r="E9" s="63">
        <f>ROUND(E$7/G$7*G9,0)</f>
        <v>646</v>
      </c>
      <c r="F9" s="63">
        <f>ROUND(F$7/G$7*G9,0)</f>
        <v>718</v>
      </c>
      <c r="G9" s="57">
        <v>825</v>
      </c>
      <c r="H9" s="57">
        <v>985</v>
      </c>
      <c r="I9" s="58">
        <v>1190</v>
      </c>
      <c r="J9" s="42">
        <f>ROUND((1.8+1.9+2.1)/3,1)</f>
        <v>1.9</v>
      </c>
      <c r="K9" s="96">
        <f>E9*$J9</f>
        <v>1227.3999999999999</v>
      </c>
      <c r="L9" s="103">
        <f>F9*$J9</f>
        <v>1364.2</v>
      </c>
      <c r="M9" s="59">
        <f>G9*$J9</f>
        <v>1567.5</v>
      </c>
      <c r="N9" s="59">
        <f>H9*$J9</f>
        <v>1871.5</v>
      </c>
      <c r="O9" s="189">
        <f>I9*$J9</f>
        <v>2261</v>
      </c>
      <c r="P9" s="192">
        <v>80</v>
      </c>
      <c r="Q9" s="182"/>
    </row>
    <row r="10" spans="1:17" s="62" customFormat="1" ht="25.5" customHeight="1" x14ac:dyDescent="0.2">
      <c r="A10" s="60"/>
      <c r="B10" s="18"/>
      <c r="C10" s="1" t="s">
        <v>54</v>
      </c>
      <c r="D10" s="1" t="s">
        <v>279</v>
      </c>
      <c r="E10" s="63">
        <f t="shared" si="1"/>
        <v>646</v>
      </c>
      <c r="F10" s="63">
        <f t="shared" si="2"/>
        <v>718</v>
      </c>
      <c r="G10" s="57">
        <v>825</v>
      </c>
      <c r="H10" s="57">
        <v>985</v>
      </c>
      <c r="I10" s="58">
        <v>1190</v>
      </c>
      <c r="J10" s="42">
        <f>ROUND((1.8+1.9+2.1)/3,1)</f>
        <v>1.9</v>
      </c>
      <c r="K10" s="96">
        <f t="shared" si="3"/>
        <v>1227.3999999999999</v>
      </c>
      <c r="L10" s="103">
        <f t="shared" si="3"/>
        <v>1364.2</v>
      </c>
      <c r="M10" s="59">
        <f t="shared" si="3"/>
        <v>1567.5</v>
      </c>
      <c r="N10" s="59">
        <f t="shared" si="3"/>
        <v>1871.5</v>
      </c>
      <c r="O10" s="189">
        <f t="shared" si="3"/>
        <v>2261</v>
      </c>
      <c r="P10" s="192">
        <v>80</v>
      </c>
      <c r="Q10" s="182" t="s">
        <v>81</v>
      </c>
    </row>
    <row r="11" spans="1:17" s="62" customFormat="1" ht="25.5" customHeight="1" x14ac:dyDescent="0.2">
      <c r="A11" s="60"/>
      <c r="B11" s="18" t="s">
        <v>55</v>
      </c>
      <c r="C11" s="1" t="s">
        <v>57</v>
      </c>
      <c r="D11" s="1" t="s">
        <v>265</v>
      </c>
      <c r="E11" s="63">
        <f t="shared" ref="E11" si="4">ROUND(E$7/G$7*G11,0)</f>
        <v>674</v>
      </c>
      <c r="F11" s="63">
        <f t="shared" ref="F11" si="5">ROUND(F$7/G$7*G11,0)</f>
        <v>748</v>
      </c>
      <c r="G11" s="57">
        <v>860</v>
      </c>
      <c r="H11" s="57">
        <v>1085</v>
      </c>
      <c r="I11" s="58">
        <v>1375</v>
      </c>
      <c r="J11" s="42">
        <v>2</v>
      </c>
      <c r="K11" s="96">
        <f t="shared" ref="K11" si="6">E11*$J11</f>
        <v>1348</v>
      </c>
      <c r="L11" s="103">
        <f t="shared" ref="L11" si="7">F11*$J11</f>
        <v>1496</v>
      </c>
      <c r="M11" s="59">
        <f t="shared" ref="M11" si="8">G11*$J11</f>
        <v>1720</v>
      </c>
      <c r="N11" s="59">
        <f t="shared" ref="N11" si="9">H11*$J11</f>
        <v>2170</v>
      </c>
      <c r="O11" s="189">
        <f t="shared" ref="O11" si="10">I11*$J11</f>
        <v>2750</v>
      </c>
      <c r="P11" s="192">
        <v>80</v>
      </c>
      <c r="Q11" s="182"/>
    </row>
    <row r="12" spans="1:17" s="62" customFormat="1" ht="25.5" customHeight="1" x14ac:dyDescent="0.2">
      <c r="A12" s="60"/>
      <c r="B12" s="195"/>
      <c r="C12" s="196"/>
      <c r="D12" s="1" t="s">
        <v>266</v>
      </c>
      <c r="E12" s="63">
        <f>ROUND(E$7/G$7*G12,0)</f>
        <v>674</v>
      </c>
      <c r="F12" s="63">
        <f>ROUND(F$7/G$7*G12,0)</f>
        <v>748</v>
      </c>
      <c r="G12" s="57">
        <v>860</v>
      </c>
      <c r="H12" s="57">
        <v>1085</v>
      </c>
      <c r="I12" s="58">
        <v>1375</v>
      </c>
      <c r="J12" s="42">
        <v>2</v>
      </c>
      <c r="K12" s="96">
        <f>E12*$J12</f>
        <v>1348</v>
      </c>
      <c r="L12" s="103">
        <f>F12*$J12</f>
        <v>1496</v>
      </c>
      <c r="M12" s="59">
        <f>G12*$J12</f>
        <v>1720</v>
      </c>
      <c r="N12" s="59">
        <f>H12*$J12</f>
        <v>2170</v>
      </c>
      <c r="O12" s="189">
        <f>I12*$J12</f>
        <v>2750</v>
      </c>
      <c r="P12" s="192">
        <v>80</v>
      </c>
      <c r="Q12" s="182"/>
    </row>
    <row r="13" spans="1:17" s="62" customFormat="1" ht="25.5" customHeight="1" x14ac:dyDescent="0.2">
      <c r="A13" s="60"/>
      <c r="B13" s="18" t="s">
        <v>55</v>
      </c>
      <c r="C13" s="1" t="s">
        <v>57</v>
      </c>
      <c r="D13" s="1" t="s">
        <v>267</v>
      </c>
      <c r="E13" s="63">
        <f t="shared" si="1"/>
        <v>674</v>
      </c>
      <c r="F13" s="63">
        <f t="shared" si="2"/>
        <v>748</v>
      </c>
      <c r="G13" s="57">
        <v>860</v>
      </c>
      <c r="H13" s="57">
        <v>1085</v>
      </c>
      <c r="I13" s="58">
        <v>1375</v>
      </c>
      <c r="J13" s="42">
        <v>2</v>
      </c>
      <c r="K13" s="96">
        <f t="shared" si="3"/>
        <v>1348</v>
      </c>
      <c r="L13" s="103">
        <f t="shared" si="3"/>
        <v>1496</v>
      </c>
      <c r="M13" s="59">
        <f t="shared" si="3"/>
        <v>1720</v>
      </c>
      <c r="N13" s="59">
        <f t="shared" si="3"/>
        <v>2170</v>
      </c>
      <c r="O13" s="189">
        <f t="shared" si="3"/>
        <v>2750</v>
      </c>
      <c r="P13" s="192">
        <v>80</v>
      </c>
      <c r="Q13" s="182"/>
    </row>
    <row r="14" spans="1:17" s="62" customFormat="1" ht="25.5" customHeight="1" x14ac:dyDescent="0.2">
      <c r="A14" s="60"/>
      <c r="B14" s="195"/>
      <c r="C14" s="196"/>
      <c r="D14" s="1" t="s">
        <v>268</v>
      </c>
      <c r="E14" s="63">
        <f>ROUND(E$7/G$7*G14,0)</f>
        <v>674</v>
      </c>
      <c r="F14" s="63">
        <f>ROUND(F$7/G$7*G14,0)</f>
        <v>748</v>
      </c>
      <c r="G14" s="57">
        <v>860</v>
      </c>
      <c r="H14" s="57">
        <v>1085</v>
      </c>
      <c r="I14" s="58">
        <v>1375</v>
      </c>
      <c r="J14" s="42">
        <v>2</v>
      </c>
      <c r="K14" s="96">
        <f>E14*$J14</f>
        <v>1348</v>
      </c>
      <c r="L14" s="103">
        <f>F14*$J14</f>
        <v>1496</v>
      </c>
      <c r="M14" s="59">
        <f>G14*$J14</f>
        <v>1720</v>
      </c>
      <c r="N14" s="59">
        <f>H14*$J14</f>
        <v>2170</v>
      </c>
      <c r="O14" s="189">
        <f>I14*$J14</f>
        <v>2750</v>
      </c>
      <c r="P14" s="192">
        <v>80</v>
      </c>
      <c r="Q14" s="182"/>
    </row>
    <row r="15" spans="1:17" s="62" customFormat="1" ht="25.5" customHeight="1" x14ac:dyDescent="0.2">
      <c r="A15" s="60"/>
      <c r="B15" s="18" t="s">
        <v>74</v>
      </c>
      <c r="C15" s="1" t="s">
        <v>56</v>
      </c>
      <c r="D15" s="1" t="s">
        <v>161</v>
      </c>
      <c r="E15" s="63">
        <f t="shared" si="1"/>
        <v>728</v>
      </c>
      <c r="F15" s="63">
        <f t="shared" si="2"/>
        <v>809</v>
      </c>
      <c r="G15" s="57">
        <v>930</v>
      </c>
      <c r="H15" s="57">
        <v>1520</v>
      </c>
      <c r="I15" s="58">
        <v>1900</v>
      </c>
      <c r="J15" s="42">
        <v>1.5</v>
      </c>
      <c r="K15" s="96">
        <f t="shared" si="3"/>
        <v>1092</v>
      </c>
      <c r="L15" s="103">
        <f t="shared" si="3"/>
        <v>1213.5</v>
      </c>
      <c r="M15" s="59">
        <f t="shared" si="3"/>
        <v>1395</v>
      </c>
      <c r="N15" s="59">
        <f t="shared" si="3"/>
        <v>2280</v>
      </c>
      <c r="O15" s="189">
        <f t="shared" si="3"/>
        <v>2850</v>
      </c>
      <c r="P15" s="192">
        <v>70</v>
      </c>
      <c r="Q15" s="182"/>
    </row>
    <row r="16" spans="1:17" s="62" customFormat="1" ht="25.5" customHeight="1" x14ac:dyDescent="0.2">
      <c r="A16" s="60"/>
      <c r="B16" s="195"/>
      <c r="C16" s="196"/>
      <c r="D16" s="1" t="s">
        <v>168</v>
      </c>
      <c r="E16" s="63">
        <f>ROUND(E$7/G$7*G16,0)</f>
        <v>728</v>
      </c>
      <c r="F16" s="63">
        <f>ROUND(F$7/G$7*G16,0)</f>
        <v>809</v>
      </c>
      <c r="G16" s="57">
        <v>930</v>
      </c>
      <c r="H16" s="57">
        <v>1520</v>
      </c>
      <c r="I16" s="58">
        <v>1900</v>
      </c>
      <c r="J16" s="42">
        <v>1.5</v>
      </c>
      <c r="K16" s="96">
        <f>E16*$J16</f>
        <v>1092</v>
      </c>
      <c r="L16" s="103">
        <f>F16*$J16</f>
        <v>1213.5</v>
      </c>
      <c r="M16" s="59">
        <f>G16*$J16</f>
        <v>1395</v>
      </c>
      <c r="N16" s="59">
        <f>H16*$J16</f>
        <v>2280</v>
      </c>
      <c r="O16" s="189">
        <f>I16*$J16</f>
        <v>2850</v>
      </c>
      <c r="P16" s="192">
        <v>70</v>
      </c>
      <c r="Q16" s="182"/>
    </row>
    <row r="17" spans="1:17" s="62" customFormat="1" ht="25.5" customHeight="1" x14ac:dyDescent="0.2">
      <c r="A17" s="60"/>
      <c r="B17" s="18" t="s">
        <v>75</v>
      </c>
      <c r="C17" s="1"/>
      <c r="D17" s="1" t="s">
        <v>76</v>
      </c>
      <c r="E17" s="63">
        <f t="shared" si="1"/>
        <v>920</v>
      </c>
      <c r="F17" s="63">
        <f t="shared" si="2"/>
        <v>1023</v>
      </c>
      <c r="G17" s="11">
        <v>1175</v>
      </c>
      <c r="H17" s="11">
        <v>1840</v>
      </c>
      <c r="I17" s="236">
        <v>2090</v>
      </c>
      <c r="J17" s="42">
        <v>1.5</v>
      </c>
      <c r="K17" s="96">
        <f t="shared" si="3"/>
        <v>1380</v>
      </c>
      <c r="L17" s="103">
        <f t="shared" si="3"/>
        <v>1534.5</v>
      </c>
      <c r="M17" s="59">
        <f t="shared" si="3"/>
        <v>1762.5</v>
      </c>
      <c r="N17" s="59">
        <f t="shared" si="3"/>
        <v>2760</v>
      </c>
      <c r="O17" s="189">
        <f t="shared" si="3"/>
        <v>3135</v>
      </c>
      <c r="P17" s="192">
        <v>70</v>
      </c>
      <c r="Q17" s="182"/>
    </row>
    <row r="18" spans="1:17" s="62" customFormat="1" ht="25.5" customHeight="1" thickBot="1" x14ac:dyDescent="0.25">
      <c r="A18" s="60"/>
      <c r="B18" s="195"/>
      <c r="C18" s="196"/>
      <c r="D18" s="196" t="s">
        <v>169</v>
      </c>
      <c r="E18" s="229">
        <f>ROUND(E$7/G$7*G18,0)</f>
        <v>920</v>
      </c>
      <c r="F18" s="229">
        <f>ROUND(F$7/G$7*G18,0)</f>
        <v>1023</v>
      </c>
      <c r="G18" s="197">
        <v>1175</v>
      </c>
      <c r="H18" s="197">
        <v>1840</v>
      </c>
      <c r="I18" s="198">
        <v>2090</v>
      </c>
      <c r="J18" s="230">
        <v>1.5</v>
      </c>
      <c r="K18" s="231">
        <f>E18*$J18</f>
        <v>1380</v>
      </c>
      <c r="L18" s="232">
        <f>F18*$J18</f>
        <v>1534.5</v>
      </c>
      <c r="M18" s="233">
        <f>G18*$J18</f>
        <v>1762.5</v>
      </c>
      <c r="N18" s="233">
        <f>H18*$J18</f>
        <v>2760</v>
      </c>
      <c r="O18" s="234">
        <f>I18*$J18</f>
        <v>3135</v>
      </c>
      <c r="P18" s="235">
        <v>70</v>
      </c>
      <c r="Q18" s="182"/>
    </row>
    <row r="19" spans="1:17" s="62" customFormat="1" ht="16.149999999999999" customHeight="1" x14ac:dyDescent="0.2">
      <c r="A19" s="60"/>
      <c r="B19" s="164" t="s">
        <v>0</v>
      </c>
      <c r="C19" s="165" t="s">
        <v>127</v>
      </c>
      <c r="D19" s="166" t="s">
        <v>280</v>
      </c>
      <c r="E19" s="167">
        <v>655</v>
      </c>
      <c r="F19" s="167">
        <v>725</v>
      </c>
      <c r="G19" s="167">
        <v>835</v>
      </c>
      <c r="H19" s="167">
        <v>1005</v>
      </c>
      <c r="I19" s="168">
        <v>1260</v>
      </c>
      <c r="J19" s="199">
        <v>2.2999999999999998</v>
      </c>
      <c r="K19" s="95">
        <f t="shared" ref="K19:K53" si="11">E19*$J19</f>
        <v>1506.4999999999998</v>
      </c>
      <c r="L19" s="102">
        <f>F19*$J19</f>
        <v>1667.4999999999998</v>
      </c>
      <c r="M19" s="32">
        <f>G19*$J19</f>
        <v>1920.4999999999998</v>
      </c>
      <c r="N19" s="32">
        <f>H19*$J19</f>
        <v>2311.5</v>
      </c>
      <c r="O19" s="11">
        <f>I19*$J19</f>
        <v>2898</v>
      </c>
      <c r="P19" s="192">
        <v>80</v>
      </c>
      <c r="Q19" s="183">
        <v>2.4</v>
      </c>
    </row>
    <row r="20" spans="1:17" s="62" customFormat="1" ht="16.149999999999999" customHeight="1" x14ac:dyDescent="0.2">
      <c r="A20" s="60"/>
      <c r="B20" s="17" t="s">
        <v>12</v>
      </c>
      <c r="C20" s="2" t="s">
        <v>128</v>
      </c>
      <c r="D20" s="23" t="s">
        <v>281</v>
      </c>
      <c r="E20" s="3">
        <v>545</v>
      </c>
      <c r="F20" s="3">
        <v>605</v>
      </c>
      <c r="G20" s="3">
        <v>695</v>
      </c>
      <c r="H20" s="3">
        <v>840</v>
      </c>
      <c r="I20" s="38">
        <v>1050</v>
      </c>
      <c r="J20" s="44">
        <v>3.8</v>
      </c>
      <c r="K20" s="95">
        <f t="shared" si="11"/>
        <v>2071</v>
      </c>
      <c r="L20" s="102">
        <f t="shared" ref="L20:L53" si="12">F20*$J20</f>
        <v>2299</v>
      </c>
      <c r="M20" s="32">
        <f t="shared" ref="M20:M53" si="13">G20*$J20</f>
        <v>2641</v>
      </c>
      <c r="N20" s="32">
        <f t="shared" ref="N20:N53" si="14">H20*$J20</f>
        <v>3192</v>
      </c>
      <c r="O20" s="11">
        <f t="shared" ref="O20:O53" si="15">I20*$J20</f>
        <v>3990</v>
      </c>
      <c r="P20" s="192">
        <v>80</v>
      </c>
      <c r="Q20" s="182" t="s">
        <v>81</v>
      </c>
    </row>
    <row r="21" spans="1:17" s="62" customFormat="1" ht="16.149999999999999" customHeight="1" x14ac:dyDescent="0.2">
      <c r="A21" s="60"/>
      <c r="B21" s="17" t="s">
        <v>33</v>
      </c>
      <c r="C21" s="2" t="s">
        <v>129</v>
      </c>
      <c r="D21" s="23" t="s">
        <v>282</v>
      </c>
      <c r="E21" s="3">
        <v>705</v>
      </c>
      <c r="F21" s="3">
        <v>785</v>
      </c>
      <c r="G21" s="3">
        <v>900</v>
      </c>
      <c r="H21" s="3">
        <v>1085</v>
      </c>
      <c r="I21" s="38">
        <v>1360</v>
      </c>
      <c r="J21" s="44">
        <v>2.6</v>
      </c>
      <c r="K21" s="95">
        <f t="shared" si="11"/>
        <v>1833</v>
      </c>
      <c r="L21" s="102">
        <f t="shared" si="12"/>
        <v>2041</v>
      </c>
      <c r="M21" s="32">
        <f t="shared" si="13"/>
        <v>2340</v>
      </c>
      <c r="N21" s="32">
        <f t="shared" si="14"/>
        <v>2821</v>
      </c>
      <c r="O21" s="11">
        <f t="shared" si="15"/>
        <v>3536</v>
      </c>
      <c r="P21" s="192">
        <v>80</v>
      </c>
      <c r="Q21" s="182" t="s">
        <v>81</v>
      </c>
    </row>
    <row r="22" spans="1:17" s="62" customFormat="1" ht="16.149999999999999" customHeight="1" x14ac:dyDescent="0.2">
      <c r="A22" s="60"/>
      <c r="B22" s="17" t="s">
        <v>3</v>
      </c>
      <c r="C22" s="2" t="s">
        <v>130</v>
      </c>
      <c r="D22" s="23" t="s">
        <v>283</v>
      </c>
      <c r="E22" s="3">
        <v>655</v>
      </c>
      <c r="F22" s="3">
        <v>725</v>
      </c>
      <c r="G22" s="3">
        <v>835</v>
      </c>
      <c r="H22" s="3">
        <v>1005</v>
      </c>
      <c r="I22" s="38">
        <v>1260</v>
      </c>
      <c r="J22" s="44">
        <v>1.9</v>
      </c>
      <c r="K22" s="95">
        <f t="shared" si="11"/>
        <v>1244.5</v>
      </c>
      <c r="L22" s="102">
        <f t="shared" si="12"/>
        <v>1377.5</v>
      </c>
      <c r="M22" s="32">
        <f t="shared" si="13"/>
        <v>1586.5</v>
      </c>
      <c r="N22" s="32">
        <f t="shared" si="14"/>
        <v>1909.5</v>
      </c>
      <c r="O22" s="11">
        <f t="shared" si="15"/>
        <v>2394</v>
      </c>
      <c r="P22" s="192">
        <v>80</v>
      </c>
      <c r="Q22" s="182" t="s">
        <v>81</v>
      </c>
    </row>
    <row r="23" spans="1:17" s="62" customFormat="1" ht="16.149999999999999" customHeight="1" x14ac:dyDescent="0.2">
      <c r="A23" s="60"/>
      <c r="B23" s="17" t="s">
        <v>15</v>
      </c>
      <c r="C23" s="2" t="s">
        <v>131</v>
      </c>
      <c r="D23" s="23" t="s">
        <v>284</v>
      </c>
      <c r="E23" s="3">
        <v>570</v>
      </c>
      <c r="F23" s="3">
        <v>635</v>
      </c>
      <c r="G23" s="3">
        <v>730</v>
      </c>
      <c r="H23" s="3">
        <v>880</v>
      </c>
      <c r="I23" s="38">
        <v>1100</v>
      </c>
      <c r="J23" s="44">
        <v>2.8</v>
      </c>
      <c r="K23" s="95">
        <f t="shared" si="11"/>
        <v>1596</v>
      </c>
      <c r="L23" s="102">
        <f t="shared" si="12"/>
        <v>1778</v>
      </c>
      <c r="M23" s="32">
        <f t="shared" si="13"/>
        <v>2043.9999999999998</v>
      </c>
      <c r="N23" s="32">
        <f t="shared" si="14"/>
        <v>2464</v>
      </c>
      <c r="O23" s="11">
        <f t="shared" si="15"/>
        <v>3080</v>
      </c>
      <c r="P23" s="192">
        <v>80</v>
      </c>
      <c r="Q23" s="182" t="s">
        <v>81</v>
      </c>
    </row>
    <row r="24" spans="1:17" s="62" customFormat="1" ht="16.149999999999999" customHeight="1" x14ac:dyDescent="0.2">
      <c r="A24" s="60"/>
      <c r="B24" s="17" t="s">
        <v>38</v>
      </c>
      <c r="C24" s="2" t="s">
        <v>132</v>
      </c>
      <c r="D24" s="23" t="s">
        <v>285</v>
      </c>
      <c r="E24" s="3">
        <v>665</v>
      </c>
      <c r="F24" s="3">
        <v>740</v>
      </c>
      <c r="G24" s="3">
        <v>850</v>
      </c>
      <c r="H24" s="3">
        <v>1025</v>
      </c>
      <c r="I24" s="38">
        <v>1285</v>
      </c>
      <c r="J24" s="44">
        <v>2.1</v>
      </c>
      <c r="K24" s="95">
        <f t="shared" si="11"/>
        <v>1396.5</v>
      </c>
      <c r="L24" s="102">
        <f t="shared" si="12"/>
        <v>1554</v>
      </c>
      <c r="M24" s="32">
        <f t="shared" si="13"/>
        <v>1785</v>
      </c>
      <c r="N24" s="32">
        <f t="shared" si="14"/>
        <v>2152.5</v>
      </c>
      <c r="O24" s="11">
        <f t="shared" si="15"/>
        <v>2698.5</v>
      </c>
      <c r="P24" s="192">
        <v>80</v>
      </c>
      <c r="Q24" s="182" t="s">
        <v>81</v>
      </c>
    </row>
    <row r="25" spans="1:17" s="62" customFormat="1" ht="16.149999999999999" customHeight="1" x14ac:dyDescent="0.2">
      <c r="A25" s="60"/>
      <c r="B25" s="17" t="s">
        <v>6</v>
      </c>
      <c r="C25" s="2" t="s">
        <v>24</v>
      </c>
      <c r="D25" s="23" t="s">
        <v>286</v>
      </c>
      <c r="E25" s="3">
        <v>790</v>
      </c>
      <c r="F25" s="3">
        <v>875</v>
      </c>
      <c r="G25" s="3">
        <v>1005</v>
      </c>
      <c r="H25" s="3">
        <v>1215</v>
      </c>
      <c r="I25" s="38">
        <v>1515</v>
      </c>
      <c r="J25" s="44">
        <v>1.6</v>
      </c>
      <c r="K25" s="95">
        <f t="shared" si="11"/>
        <v>1264</v>
      </c>
      <c r="L25" s="102">
        <f t="shared" si="12"/>
        <v>1400</v>
      </c>
      <c r="M25" s="32">
        <f t="shared" si="13"/>
        <v>1608</v>
      </c>
      <c r="N25" s="32">
        <f t="shared" si="14"/>
        <v>1944</v>
      </c>
      <c r="O25" s="11">
        <f t="shared" si="15"/>
        <v>2424</v>
      </c>
      <c r="P25" s="192">
        <v>80</v>
      </c>
      <c r="Q25" s="182" t="s">
        <v>81</v>
      </c>
    </row>
    <row r="26" spans="1:17" s="62" customFormat="1" ht="16.149999999999999" customHeight="1" x14ac:dyDescent="0.2">
      <c r="A26" s="60"/>
      <c r="B26" s="17" t="s">
        <v>18</v>
      </c>
      <c r="C26" s="2" t="s">
        <v>24</v>
      </c>
      <c r="D26" s="23" t="s">
        <v>287</v>
      </c>
      <c r="E26" s="3">
        <v>585</v>
      </c>
      <c r="F26" s="3">
        <v>650</v>
      </c>
      <c r="G26" s="3">
        <v>745</v>
      </c>
      <c r="H26" s="3">
        <v>900</v>
      </c>
      <c r="I26" s="38">
        <v>1125</v>
      </c>
      <c r="J26" s="44">
        <v>2.6</v>
      </c>
      <c r="K26" s="95">
        <f t="shared" si="11"/>
        <v>1521</v>
      </c>
      <c r="L26" s="102">
        <f t="shared" si="12"/>
        <v>1690</v>
      </c>
      <c r="M26" s="32">
        <f t="shared" si="13"/>
        <v>1937</v>
      </c>
      <c r="N26" s="32">
        <f t="shared" si="14"/>
        <v>2340</v>
      </c>
      <c r="O26" s="11">
        <f t="shared" si="15"/>
        <v>2925</v>
      </c>
      <c r="P26" s="192">
        <v>80</v>
      </c>
      <c r="Q26" s="182" t="s">
        <v>81</v>
      </c>
    </row>
    <row r="27" spans="1:17" s="62" customFormat="1" ht="16.149999999999999" customHeight="1" x14ac:dyDescent="0.2">
      <c r="A27" s="60"/>
      <c r="B27" s="17" t="s">
        <v>39</v>
      </c>
      <c r="C27" s="2" t="s">
        <v>45</v>
      </c>
      <c r="D27" s="23" t="s">
        <v>288</v>
      </c>
      <c r="E27" s="3">
        <v>920</v>
      </c>
      <c r="F27" s="3">
        <v>1025</v>
      </c>
      <c r="G27" s="3">
        <v>1180</v>
      </c>
      <c r="H27" s="3">
        <v>1420</v>
      </c>
      <c r="I27" s="38">
        <v>1775</v>
      </c>
      <c r="J27" s="44">
        <v>1.4</v>
      </c>
      <c r="K27" s="95">
        <f t="shared" si="11"/>
        <v>1288</v>
      </c>
      <c r="L27" s="102">
        <f t="shared" si="12"/>
        <v>1435</v>
      </c>
      <c r="M27" s="32">
        <f t="shared" si="13"/>
        <v>1652</v>
      </c>
      <c r="N27" s="32">
        <f t="shared" si="14"/>
        <v>1987.9999999999998</v>
      </c>
      <c r="O27" s="11">
        <f t="shared" si="15"/>
        <v>2485</v>
      </c>
      <c r="P27" s="192">
        <v>80</v>
      </c>
      <c r="Q27" s="182" t="s">
        <v>81</v>
      </c>
    </row>
    <row r="28" spans="1:17" s="62" customFormat="1" ht="16.149999999999999" customHeight="1" x14ac:dyDescent="0.2">
      <c r="A28" s="60"/>
      <c r="B28" s="17" t="s">
        <v>9</v>
      </c>
      <c r="C28" s="2" t="s">
        <v>27</v>
      </c>
      <c r="D28" s="23" t="s">
        <v>289</v>
      </c>
      <c r="E28" s="3">
        <v>720</v>
      </c>
      <c r="F28" s="3">
        <v>800</v>
      </c>
      <c r="G28" s="3">
        <v>920</v>
      </c>
      <c r="H28" s="3">
        <v>1105</v>
      </c>
      <c r="I28" s="38">
        <v>1385</v>
      </c>
      <c r="J28" s="44">
        <v>1.5</v>
      </c>
      <c r="K28" s="95">
        <f t="shared" si="11"/>
        <v>1080</v>
      </c>
      <c r="L28" s="102">
        <f t="shared" si="12"/>
        <v>1200</v>
      </c>
      <c r="M28" s="32">
        <f t="shared" si="13"/>
        <v>1380</v>
      </c>
      <c r="N28" s="32">
        <f t="shared" si="14"/>
        <v>1657.5</v>
      </c>
      <c r="O28" s="11">
        <f t="shared" si="15"/>
        <v>2077.5</v>
      </c>
      <c r="P28" s="192">
        <v>80</v>
      </c>
      <c r="Q28" s="182" t="s">
        <v>81</v>
      </c>
    </row>
    <row r="29" spans="1:17" s="62" customFormat="1" ht="16.149999999999999" customHeight="1" x14ac:dyDescent="0.2">
      <c r="A29" s="60"/>
      <c r="B29" s="17" t="s">
        <v>21</v>
      </c>
      <c r="C29" s="2" t="s">
        <v>32</v>
      </c>
      <c r="D29" s="23" t="s">
        <v>290</v>
      </c>
      <c r="E29" s="3">
        <v>620</v>
      </c>
      <c r="F29" s="3">
        <v>690</v>
      </c>
      <c r="G29" s="3">
        <v>790</v>
      </c>
      <c r="H29" s="3">
        <v>955</v>
      </c>
      <c r="I29" s="38">
        <v>1190</v>
      </c>
      <c r="J29" s="43">
        <v>2.1</v>
      </c>
      <c r="K29" s="95">
        <f t="shared" si="11"/>
        <v>1302</v>
      </c>
      <c r="L29" s="102">
        <f t="shared" si="12"/>
        <v>1449</v>
      </c>
      <c r="M29" s="32">
        <f t="shared" si="13"/>
        <v>1659</v>
      </c>
      <c r="N29" s="32">
        <f t="shared" si="14"/>
        <v>2005.5</v>
      </c>
      <c r="O29" s="11">
        <f t="shared" si="15"/>
        <v>2499</v>
      </c>
      <c r="P29" s="192">
        <v>80</v>
      </c>
      <c r="Q29" s="183">
        <v>1.5</v>
      </c>
    </row>
    <row r="30" spans="1:17" s="62" customFormat="1" ht="16.149999999999999" customHeight="1" thickBot="1" x14ac:dyDescent="0.25">
      <c r="A30" s="60"/>
      <c r="B30" s="19" t="s">
        <v>42</v>
      </c>
      <c r="C30" s="20" t="s">
        <v>48</v>
      </c>
      <c r="D30" s="24" t="s">
        <v>291</v>
      </c>
      <c r="E30" s="21">
        <v>785</v>
      </c>
      <c r="F30" s="21">
        <v>870</v>
      </c>
      <c r="G30" s="21">
        <v>1000</v>
      </c>
      <c r="H30" s="21">
        <v>1205</v>
      </c>
      <c r="I30" s="39">
        <v>1510</v>
      </c>
      <c r="J30" s="45">
        <v>1.4</v>
      </c>
      <c r="K30" s="95">
        <f t="shared" si="11"/>
        <v>1099</v>
      </c>
      <c r="L30" s="102">
        <f t="shared" si="12"/>
        <v>1218</v>
      </c>
      <c r="M30" s="32">
        <f t="shared" si="13"/>
        <v>1400</v>
      </c>
      <c r="N30" s="32">
        <f t="shared" si="14"/>
        <v>1687</v>
      </c>
      <c r="O30" s="11">
        <f t="shared" si="15"/>
        <v>2114</v>
      </c>
      <c r="P30" s="192">
        <v>80</v>
      </c>
      <c r="Q30" s="182" t="s">
        <v>81</v>
      </c>
    </row>
    <row r="31" spans="1:17" s="62" customFormat="1" ht="16.149999999999999" customHeight="1" x14ac:dyDescent="0.2">
      <c r="A31" s="60"/>
      <c r="B31" s="164" t="s">
        <v>149</v>
      </c>
      <c r="C31" s="165" t="s">
        <v>147</v>
      </c>
      <c r="D31" s="166" t="s">
        <v>334</v>
      </c>
      <c r="E31" s="167">
        <v>688</v>
      </c>
      <c r="F31" s="167">
        <v>761</v>
      </c>
      <c r="G31" s="167">
        <v>877</v>
      </c>
      <c r="H31" s="167">
        <v>1055</v>
      </c>
      <c r="I31" s="168">
        <v>1323</v>
      </c>
      <c r="J31" s="169">
        <v>2.2999999999999998</v>
      </c>
      <c r="K31" s="95">
        <f t="shared" si="11"/>
        <v>1582.3999999999999</v>
      </c>
      <c r="L31" s="102">
        <f t="shared" si="12"/>
        <v>1750.3</v>
      </c>
      <c r="M31" s="32">
        <f t="shared" si="13"/>
        <v>2017.1</v>
      </c>
      <c r="N31" s="32">
        <f t="shared" si="14"/>
        <v>2426.5</v>
      </c>
      <c r="O31" s="11">
        <f t="shared" si="15"/>
        <v>3042.8999999999996</v>
      </c>
      <c r="P31" s="192">
        <v>80</v>
      </c>
      <c r="Q31" s="182" t="s">
        <v>81</v>
      </c>
    </row>
    <row r="32" spans="1:17" s="62" customFormat="1" ht="16.149999999999999" customHeight="1" x14ac:dyDescent="0.2">
      <c r="A32" s="60"/>
      <c r="B32" s="17" t="s">
        <v>150</v>
      </c>
      <c r="C32" s="2"/>
      <c r="D32" s="23" t="s">
        <v>335</v>
      </c>
      <c r="E32" s="3">
        <v>572</v>
      </c>
      <c r="F32" s="3">
        <v>635</v>
      </c>
      <c r="G32" s="3">
        <v>730</v>
      </c>
      <c r="H32" s="3">
        <v>882</v>
      </c>
      <c r="I32" s="38">
        <v>1103</v>
      </c>
      <c r="J32" s="44">
        <v>3.8</v>
      </c>
      <c r="K32" s="95">
        <f t="shared" si="11"/>
        <v>2173.6</v>
      </c>
      <c r="L32" s="102">
        <f t="shared" si="12"/>
        <v>2413</v>
      </c>
      <c r="M32" s="32">
        <f t="shared" si="13"/>
        <v>2774</v>
      </c>
      <c r="N32" s="32">
        <f t="shared" si="14"/>
        <v>3351.6</v>
      </c>
      <c r="O32" s="11">
        <f t="shared" si="15"/>
        <v>4191.3999999999996</v>
      </c>
      <c r="P32" s="192">
        <v>80</v>
      </c>
      <c r="Q32" s="183">
        <v>3.8</v>
      </c>
    </row>
    <row r="33" spans="1:17" s="62" customFormat="1" ht="16.149999999999999" customHeight="1" x14ac:dyDescent="0.2">
      <c r="A33" s="60"/>
      <c r="B33" s="17" t="s">
        <v>151</v>
      </c>
      <c r="C33" s="2"/>
      <c r="D33" s="23" t="s">
        <v>336</v>
      </c>
      <c r="E33" s="3">
        <v>740</v>
      </c>
      <c r="F33" s="3">
        <v>824</v>
      </c>
      <c r="G33" s="3">
        <v>945</v>
      </c>
      <c r="H33" s="3">
        <v>1139</v>
      </c>
      <c r="I33" s="38">
        <v>1428</v>
      </c>
      <c r="J33" s="44">
        <v>2.6</v>
      </c>
      <c r="K33" s="95">
        <f t="shared" si="11"/>
        <v>1924</v>
      </c>
      <c r="L33" s="102">
        <f t="shared" si="12"/>
        <v>2142.4</v>
      </c>
      <c r="M33" s="32">
        <f t="shared" si="13"/>
        <v>2457</v>
      </c>
      <c r="N33" s="32">
        <f t="shared" si="14"/>
        <v>2961.4</v>
      </c>
      <c r="O33" s="11">
        <f t="shared" si="15"/>
        <v>3712.8</v>
      </c>
      <c r="P33" s="192">
        <v>80</v>
      </c>
      <c r="Q33" s="182" t="s">
        <v>81</v>
      </c>
    </row>
    <row r="34" spans="1:17" s="62" customFormat="1" ht="16.149999999999999" customHeight="1" x14ac:dyDescent="0.2">
      <c r="A34" s="60"/>
      <c r="B34" s="17" t="s">
        <v>152</v>
      </c>
      <c r="C34" s="2"/>
      <c r="D34" s="23" t="s">
        <v>337</v>
      </c>
      <c r="E34" s="3">
        <v>688</v>
      </c>
      <c r="F34" s="3">
        <v>761</v>
      </c>
      <c r="G34" s="3">
        <v>877</v>
      </c>
      <c r="H34" s="3">
        <v>1055</v>
      </c>
      <c r="I34" s="38">
        <v>1323</v>
      </c>
      <c r="J34" s="44">
        <v>1.9</v>
      </c>
      <c r="K34" s="95">
        <f t="shared" si="11"/>
        <v>1307.2</v>
      </c>
      <c r="L34" s="102">
        <f t="shared" si="12"/>
        <v>1445.8999999999999</v>
      </c>
      <c r="M34" s="32">
        <f t="shared" si="13"/>
        <v>1666.3</v>
      </c>
      <c r="N34" s="32">
        <f t="shared" si="14"/>
        <v>2004.5</v>
      </c>
      <c r="O34" s="11">
        <f t="shared" si="15"/>
        <v>2513.6999999999998</v>
      </c>
      <c r="P34" s="192">
        <v>80</v>
      </c>
      <c r="Q34" s="182" t="s">
        <v>81</v>
      </c>
    </row>
    <row r="35" spans="1:17" s="62" customFormat="1" ht="16.149999999999999" customHeight="1" x14ac:dyDescent="0.2">
      <c r="A35" s="60"/>
      <c r="B35" s="17" t="s">
        <v>148</v>
      </c>
      <c r="C35" s="2"/>
      <c r="D35" s="23" t="s">
        <v>338</v>
      </c>
      <c r="E35" s="3">
        <v>599</v>
      </c>
      <c r="F35" s="3">
        <v>667</v>
      </c>
      <c r="G35" s="3">
        <v>767</v>
      </c>
      <c r="H35" s="3">
        <v>924</v>
      </c>
      <c r="I35" s="38">
        <v>1155</v>
      </c>
      <c r="J35" s="44">
        <v>2.8</v>
      </c>
      <c r="K35" s="95">
        <f t="shared" si="11"/>
        <v>1677.1999999999998</v>
      </c>
      <c r="L35" s="102">
        <f t="shared" si="12"/>
        <v>1867.6</v>
      </c>
      <c r="M35" s="32">
        <f t="shared" si="13"/>
        <v>2147.6</v>
      </c>
      <c r="N35" s="32">
        <f t="shared" si="14"/>
        <v>2587.1999999999998</v>
      </c>
      <c r="O35" s="11">
        <f t="shared" si="15"/>
        <v>3234</v>
      </c>
      <c r="P35" s="192">
        <v>80</v>
      </c>
      <c r="Q35" s="182" t="s">
        <v>81</v>
      </c>
    </row>
    <row r="36" spans="1:17" s="62" customFormat="1" ht="16.149999999999999" customHeight="1" x14ac:dyDescent="0.2">
      <c r="A36" s="60"/>
      <c r="B36" s="17" t="s">
        <v>153</v>
      </c>
      <c r="C36" s="2"/>
      <c r="D36" s="23" t="s">
        <v>339</v>
      </c>
      <c r="E36" s="3">
        <v>698</v>
      </c>
      <c r="F36" s="3">
        <v>777</v>
      </c>
      <c r="G36" s="3">
        <v>893</v>
      </c>
      <c r="H36" s="3">
        <v>1076</v>
      </c>
      <c r="I36" s="38">
        <v>1349</v>
      </c>
      <c r="J36" s="44">
        <v>2.1</v>
      </c>
      <c r="K36" s="95">
        <f t="shared" si="11"/>
        <v>1465.8</v>
      </c>
      <c r="L36" s="102">
        <f t="shared" si="12"/>
        <v>1631.7</v>
      </c>
      <c r="M36" s="32">
        <f t="shared" si="13"/>
        <v>1875.3000000000002</v>
      </c>
      <c r="N36" s="32">
        <f t="shared" si="14"/>
        <v>2259.6</v>
      </c>
      <c r="O36" s="11">
        <f t="shared" si="15"/>
        <v>2832.9</v>
      </c>
      <c r="P36" s="192">
        <v>80</v>
      </c>
      <c r="Q36" s="182" t="s">
        <v>81</v>
      </c>
    </row>
    <row r="37" spans="1:17" s="62" customFormat="1" ht="16.149999999999999" customHeight="1" x14ac:dyDescent="0.2">
      <c r="A37" s="60"/>
      <c r="B37" s="17" t="s">
        <v>154</v>
      </c>
      <c r="C37" s="2"/>
      <c r="D37" s="23" t="s">
        <v>340</v>
      </c>
      <c r="E37" s="3">
        <v>830</v>
      </c>
      <c r="F37" s="3">
        <v>919</v>
      </c>
      <c r="G37" s="3">
        <v>1055</v>
      </c>
      <c r="H37" s="3">
        <v>1276</v>
      </c>
      <c r="I37" s="38">
        <v>1591</v>
      </c>
      <c r="J37" s="44">
        <v>1.6</v>
      </c>
      <c r="K37" s="95">
        <f t="shared" si="11"/>
        <v>1328</v>
      </c>
      <c r="L37" s="102">
        <f t="shared" si="12"/>
        <v>1470.4</v>
      </c>
      <c r="M37" s="32">
        <f t="shared" si="13"/>
        <v>1688</v>
      </c>
      <c r="N37" s="32">
        <f t="shared" si="14"/>
        <v>2041.6000000000001</v>
      </c>
      <c r="O37" s="11">
        <f t="shared" si="15"/>
        <v>2545.6000000000004</v>
      </c>
      <c r="P37" s="192">
        <v>80</v>
      </c>
      <c r="Q37" s="182" t="s">
        <v>81</v>
      </c>
    </row>
    <row r="38" spans="1:17" s="62" customFormat="1" ht="16.149999999999999" customHeight="1" x14ac:dyDescent="0.2">
      <c r="A38" s="60"/>
      <c r="B38" s="17" t="s">
        <v>155</v>
      </c>
      <c r="C38" s="2"/>
      <c r="D38" s="23" t="s">
        <v>341</v>
      </c>
      <c r="E38" s="3">
        <v>614</v>
      </c>
      <c r="F38" s="3">
        <v>683</v>
      </c>
      <c r="G38" s="3">
        <v>782</v>
      </c>
      <c r="H38" s="3">
        <v>945</v>
      </c>
      <c r="I38" s="38">
        <v>1181</v>
      </c>
      <c r="J38" s="44">
        <v>2.6</v>
      </c>
      <c r="K38" s="95">
        <f t="shared" si="11"/>
        <v>1596.4</v>
      </c>
      <c r="L38" s="102">
        <f t="shared" si="12"/>
        <v>1775.8</v>
      </c>
      <c r="M38" s="32">
        <f t="shared" si="13"/>
        <v>2033.2</v>
      </c>
      <c r="N38" s="32">
        <f t="shared" si="14"/>
        <v>2457</v>
      </c>
      <c r="O38" s="11">
        <f t="shared" si="15"/>
        <v>3070.6</v>
      </c>
      <c r="P38" s="192">
        <v>80</v>
      </c>
      <c r="Q38" s="182" t="s">
        <v>81</v>
      </c>
    </row>
    <row r="39" spans="1:17" s="62" customFormat="1" ht="16.149999999999999" customHeight="1" x14ac:dyDescent="0.2">
      <c r="A39" s="60"/>
      <c r="B39" s="17" t="s">
        <v>156</v>
      </c>
      <c r="C39" s="2"/>
      <c r="D39" s="23" t="s">
        <v>342</v>
      </c>
      <c r="E39" s="3">
        <v>966</v>
      </c>
      <c r="F39" s="3">
        <v>1076</v>
      </c>
      <c r="G39" s="3">
        <v>1239</v>
      </c>
      <c r="H39" s="3">
        <v>1491</v>
      </c>
      <c r="I39" s="38">
        <v>1864</v>
      </c>
      <c r="J39" s="44">
        <v>1.4</v>
      </c>
      <c r="K39" s="95">
        <f t="shared" si="11"/>
        <v>1352.3999999999999</v>
      </c>
      <c r="L39" s="102">
        <f t="shared" si="12"/>
        <v>1506.3999999999999</v>
      </c>
      <c r="M39" s="32">
        <f t="shared" si="13"/>
        <v>1734.6</v>
      </c>
      <c r="N39" s="32">
        <f t="shared" si="14"/>
        <v>2087.4</v>
      </c>
      <c r="O39" s="11">
        <f t="shared" si="15"/>
        <v>2609.6</v>
      </c>
      <c r="P39" s="192">
        <v>80</v>
      </c>
      <c r="Q39" s="182" t="s">
        <v>81</v>
      </c>
    </row>
    <row r="40" spans="1:17" s="62" customFormat="1" ht="16.149999999999999" customHeight="1" x14ac:dyDescent="0.2">
      <c r="A40" s="60"/>
      <c r="B40" s="17" t="s">
        <v>157</v>
      </c>
      <c r="C40" s="2"/>
      <c r="D40" s="23" t="s">
        <v>343</v>
      </c>
      <c r="E40" s="3">
        <v>756</v>
      </c>
      <c r="F40" s="3">
        <v>840</v>
      </c>
      <c r="G40" s="3">
        <v>966</v>
      </c>
      <c r="H40" s="3">
        <v>1160</v>
      </c>
      <c r="I40" s="38">
        <v>1454</v>
      </c>
      <c r="J40" s="44">
        <v>1.5</v>
      </c>
      <c r="K40" s="95">
        <f t="shared" si="11"/>
        <v>1134</v>
      </c>
      <c r="L40" s="102">
        <f t="shared" si="12"/>
        <v>1260</v>
      </c>
      <c r="M40" s="32">
        <f t="shared" si="13"/>
        <v>1449</v>
      </c>
      <c r="N40" s="32">
        <f t="shared" si="14"/>
        <v>1740</v>
      </c>
      <c r="O40" s="11">
        <f t="shared" si="15"/>
        <v>2181</v>
      </c>
      <c r="P40" s="192">
        <v>80</v>
      </c>
      <c r="Q40" s="182" t="s">
        <v>81</v>
      </c>
    </row>
    <row r="41" spans="1:17" s="62" customFormat="1" ht="16.149999999999999" customHeight="1" x14ac:dyDescent="0.2">
      <c r="A41" s="60"/>
      <c r="B41" s="17" t="s">
        <v>158</v>
      </c>
      <c r="C41" s="2"/>
      <c r="D41" s="23" t="s">
        <v>344</v>
      </c>
      <c r="E41" s="3">
        <v>651</v>
      </c>
      <c r="F41" s="3">
        <v>725</v>
      </c>
      <c r="G41" s="3">
        <v>830</v>
      </c>
      <c r="H41" s="3">
        <v>1003</v>
      </c>
      <c r="I41" s="38">
        <v>1250</v>
      </c>
      <c r="J41" s="44">
        <v>2.1</v>
      </c>
      <c r="K41" s="95">
        <f t="shared" si="11"/>
        <v>1367.1000000000001</v>
      </c>
      <c r="L41" s="102">
        <f t="shared" si="12"/>
        <v>1522.5</v>
      </c>
      <c r="M41" s="32">
        <f t="shared" si="13"/>
        <v>1743</v>
      </c>
      <c r="N41" s="32">
        <f t="shared" si="14"/>
        <v>2106.3000000000002</v>
      </c>
      <c r="O41" s="11">
        <f t="shared" si="15"/>
        <v>2625</v>
      </c>
      <c r="P41" s="192">
        <v>80</v>
      </c>
      <c r="Q41" s="182" t="s">
        <v>81</v>
      </c>
    </row>
    <row r="42" spans="1:17" s="62" customFormat="1" ht="16.149999999999999" customHeight="1" thickBot="1" x14ac:dyDescent="0.25">
      <c r="A42" s="60"/>
      <c r="B42" s="19" t="s">
        <v>159</v>
      </c>
      <c r="C42" s="20"/>
      <c r="D42" s="24" t="s">
        <v>345</v>
      </c>
      <c r="E42" s="21">
        <v>824</v>
      </c>
      <c r="F42" s="21">
        <v>914</v>
      </c>
      <c r="G42" s="21">
        <v>1050</v>
      </c>
      <c r="H42" s="21">
        <v>1265</v>
      </c>
      <c r="I42" s="39">
        <v>1586</v>
      </c>
      <c r="J42" s="45">
        <v>1.4</v>
      </c>
      <c r="K42" s="95">
        <f t="shared" si="11"/>
        <v>1153.5999999999999</v>
      </c>
      <c r="L42" s="102">
        <f t="shared" si="12"/>
        <v>1279.5999999999999</v>
      </c>
      <c r="M42" s="32">
        <f t="shared" si="13"/>
        <v>1470</v>
      </c>
      <c r="N42" s="32">
        <f t="shared" si="14"/>
        <v>1771</v>
      </c>
      <c r="O42" s="11">
        <f t="shared" si="15"/>
        <v>2220.3999999999996</v>
      </c>
      <c r="P42" s="192">
        <v>80</v>
      </c>
      <c r="Q42" s="182" t="s">
        <v>81</v>
      </c>
    </row>
    <row r="43" spans="1:17" s="62" customFormat="1" ht="16.149999999999999" customHeight="1" x14ac:dyDescent="0.2">
      <c r="A43" s="60"/>
      <c r="B43" s="17" t="s">
        <v>1</v>
      </c>
      <c r="C43" s="2" t="s">
        <v>133</v>
      </c>
      <c r="D43" s="23" t="s">
        <v>292</v>
      </c>
      <c r="E43" s="3">
        <v>615</v>
      </c>
      <c r="F43" s="3">
        <v>685</v>
      </c>
      <c r="G43" s="3">
        <v>785</v>
      </c>
      <c r="H43" s="3">
        <v>945</v>
      </c>
      <c r="I43" s="38">
        <v>1180</v>
      </c>
      <c r="J43" s="44">
        <v>2</v>
      </c>
      <c r="K43" s="95">
        <f t="shared" si="11"/>
        <v>1230</v>
      </c>
      <c r="L43" s="102">
        <f t="shared" si="12"/>
        <v>1370</v>
      </c>
      <c r="M43" s="32">
        <f t="shared" si="13"/>
        <v>1570</v>
      </c>
      <c r="N43" s="32">
        <f t="shared" si="14"/>
        <v>1890</v>
      </c>
      <c r="O43" s="11">
        <f t="shared" si="15"/>
        <v>2360</v>
      </c>
      <c r="P43" s="192">
        <v>80</v>
      </c>
      <c r="Q43" s="182" t="s">
        <v>81</v>
      </c>
    </row>
    <row r="44" spans="1:17" s="62" customFormat="1" ht="16.149999999999999" customHeight="1" x14ac:dyDescent="0.2">
      <c r="A44" s="60"/>
      <c r="B44" s="17" t="s">
        <v>13</v>
      </c>
      <c r="C44" s="2" t="s">
        <v>134</v>
      </c>
      <c r="D44" s="23" t="s">
        <v>293</v>
      </c>
      <c r="E44" s="3">
        <v>515</v>
      </c>
      <c r="F44" s="3">
        <v>570</v>
      </c>
      <c r="G44" s="3">
        <v>655</v>
      </c>
      <c r="H44" s="3">
        <v>790</v>
      </c>
      <c r="I44" s="38">
        <v>985</v>
      </c>
      <c r="J44" s="43">
        <v>3.9</v>
      </c>
      <c r="K44" s="95">
        <f t="shared" si="11"/>
        <v>2008.5</v>
      </c>
      <c r="L44" s="102">
        <f t="shared" si="12"/>
        <v>2223</v>
      </c>
      <c r="M44" s="32">
        <f t="shared" si="13"/>
        <v>2554.5</v>
      </c>
      <c r="N44" s="32">
        <f t="shared" si="14"/>
        <v>3081</v>
      </c>
      <c r="O44" s="11">
        <f t="shared" si="15"/>
        <v>3841.5</v>
      </c>
      <c r="P44" s="192">
        <v>80</v>
      </c>
      <c r="Q44" s="182" t="s">
        <v>81</v>
      </c>
    </row>
    <row r="45" spans="1:17" s="62" customFormat="1" ht="16.149999999999999" customHeight="1" x14ac:dyDescent="0.2">
      <c r="A45" s="60"/>
      <c r="B45" s="17" t="s">
        <v>34</v>
      </c>
      <c r="C45" s="2" t="s">
        <v>135</v>
      </c>
      <c r="D45" s="23" t="s">
        <v>294</v>
      </c>
      <c r="E45" s="3">
        <v>665</v>
      </c>
      <c r="F45" s="3">
        <v>735</v>
      </c>
      <c r="G45" s="3">
        <v>845</v>
      </c>
      <c r="H45" s="3">
        <v>1020</v>
      </c>
      <c r="I45" s="38">
        <v>1275</v>
      </c>
      <c r="J45" s="44">
        <v>2.6</v>
      </c>
      <c r="K45" s="95">
        <f t="shared" si="11"/>
        <v>1729</v>
      </c>
      <c r="L45" s="102">
        <f t="shared" si="12"/>
        <v>1911</v>
      </c>
      <c r="M45" s="32">
        <f t="shared" si="13"/>
        <v>2197</v>
      </c>
      <c r="N45" s="32">
        <f t="shared" si="14"/>
        <v>2652</v>
      </c>
      <c r="O45" s="11">
        <f t="shared" si="15"/>
        <v>3315</v>
      </c>
      <c r="P45" s="192">
        <v>80</v>
      </c>
      <c r="Q45" s="182" t="s">
        <v>81</v>
      </c>
    </row>
    <row r="46" spans="1:17" s="62" customFormat="1" ht="16.149999999999999" customHeight="1" x14ac:dyDescent="0.2">
      <c r="A46" s="60"/>
      <c r="B46" s="17" t="s">
        <v>4</v>
      </c>
      <c r="C46" s="2" t="s">
        <v>136</v>
      </c>
      <c r="D46" s="23" t="s">
        <v>295</v>
      </c>
      <c r="E46" s="3">
        <v>615</v>
      </c>
      <c r="F46" s="3">
        <v>685</v>
      </c>
      <c r="G46" s="3">
        <v>785</v>
      </c>
      <c r="H46" s="3">
        <v>945</v>
      </c>
      <c r="I46" s="38">
        <v>1180</v>
      </c>
      <c r="J46" s="44">
        <v>1.8</v>
      </c>
      <c r="K46" s="95">
        <f t="shared" si="11"/>
        <v>1107</v>
      </c>
      <c r="L46" s="102">
        <f t="shared" si="12"/>
        <v>1233</v>
      </c>
      <c r="M46" s="32">
        <f t="shared" si="13"/>
        <v>1413</v>
      </c>
      <c r="N46" s="32">
        <f t="shared" si="14"/>
        <v>1701</v>
      </c>
      <c r="O46" s="11">
        <f t="shared" si="15"/>
        <v>2124</v>
      </c>
      <c r="P46" s="192">
        <v>80</v>
      </c>
      <c r="Q46" s="182" t="s">
        <v>81</v>
      </c>
    </row>
    <row r="47" spans="1:17" s="62" customFormat="1" ht="16.149999999999999" customHeight="1" x14ac:dyDescent="0.2">
      <c r="A47" s="60"/>
      <c r="B47" s="17" t="s">
        <v>16</v>
      </c>
      <c r="C47" s="2" t="s">
        <v>137</v>
      </c>
      <c r="D47" s="23" t="s">
        <v>296</v>
      </c>
      <c r="E47" s="3">
        <v>535</v>
      </c>
      <c r="F47" s="3">
        <v>595</v>
      </c>
      <c r="G47" s="3">
        <v>685</v>
      </c>
      <c r="H47" s="3">
        <v>825</v>
      </c>
      <c r="I47" s="38">
        <v>1035</v>
      </c>
      <c r="J47" s="44">
        <v>2.6</v>
      </c>
      <c r="K47" s="95">
        <f t="shared" si="11"/>
        <v>1391</v>
      </c>
      <c r="L47" s="102">
        <f t="shared" si="12"/>
        <v>1547</v>
      </c>
      <c r="M47" s="32">
        <f t="shared" si="13"/>
        <v>1781</v>
      </c>
      <c r="N47" s="32">
        <f t="shared" si="14"/>
        <v>2145</v>
      </c>
      <c r="O47" s="11">
        <f t="shared" si="15"/>
        <v>2691</v>
      </c>
      <c r="P47" s="192">
        <v>80</v>
      </c>
      <c r="Q47" s="182" t="s">
        <v>81</v>
      </c>
    </row>
    <row r="48" spans="1:17" s="62" customFormat="1" ht="16.149999999999999" customHeight="1" x14ac:dyDescent="0.2">
      <c r="A48" s="60"/>
      <c r="B48" s="17" t="s">
        <v>37</v>
      </c>
      <c r="C48" s="2" t="s">
        <v>138</v>
      </c>
      <c r="D48" s="23" t="s">
        <v>297</v>
      </c>
      <c r="E48" s="3">
        <v>625</v>
      </c>
      <c r="F48" s="3">
        <v>695</v>
      </c>
      <c r="G48" s="3">
        <v>800</v>
      </c>
      <c r="H48" s="3">
        <v>965</v>
      </c>
      <c r="I48" s="38">
        <v>1205</v>
      </c>
      <c r="J48" s="44">
        <v>1.9</v>
      </c>
      <c r="K48" s="95">
        <f t="shared" si="11"/>
        <v>1187.5</v>
      </c>
      <c r="L48" s="102">
        <f t="shared" si="12"/>
        <v>1320.5</v>
      </c>
      <c r="M48" s="32">
        <f t="shared" si="13"/>
        <v>1520</v>
      </c>
      <c r="N48" s="32">
        <f t="shared" si="14"/>
        <v>1833.5</v>
      </c>
      <c r="O48" s="11">
        <f t="shared" si="15"/>
        <v>2289.5</v>
      </c>
      <c r="P48" s="192">
        <v>80</v>
      </c>
      <c r="Q48" s="182" t="s">
        <v>81</v>
      </c>
    </row>
    <row r="49" spans="1:17" s="62" customFormat="1" ht="16.149999999999999" customHeight="1" x14ac:dyDescent="0.2">
      <c r="A49" s="60"/>
      <c r="B49" s="17" t="s">
        <v>7</v>
      </c>
      <c r="C49" s="2" t="s">
        <v>25</v>
      </c>
      <c r="D49" s="23" t="s">
        <v>298</v>
      </c>
      <c r="E49" s="3">
        <v>740</v>
      </c>
      <c r="F49" s="3">
        <v>825</v>
      </c>
      <c r="G49" s="3">
        <v>945</v>
      </c>
      <c r="H49" s="3">
        <v>1140</v>
      </c>
      <c r="I49" s="38">
        <v>1425</v>
      </c>
      <c r="J49" s="44">
        <v>1.3</v>
      </c>
      <c r="K49" s="95">
        <f t="shared" si="11"/>
        <v>962</v>
      </c>
      <c r="L49" s="102">
        <f t="shared" si="12"/>
        <v>1072.5</v>
      </c>
      <c r="M49" s="32">
        <f t="shared" si="13"/>
        <v>1228.5</v>
      </c>
      <c r="N49" s="32">
        <f t="shared" si="14"/>
        <v>1482</v>
      </c>
      <c r="O49" s="11">
        <f t="shared" si="15"/>
        <v>1852.5</v>
      </c>
      <c r="P49" s="192">
        <v>80</v>
      </c>
      <c r="Q49" s="182" t="s">
        <v>81</v>
      </c>
    </row>
    <row r="50" spans="1:17" s="62" customFormat="1" ht="16.149999999999999" customHeight="1" x14ac:dyDescent="0.2">
      <c r="A50" s="60"/>
      <c r="B50" s="17" t="s">
        <v>19</v>
      </c>
      <c r="C50" s="2" t="s">
        <v>30</v>
      </c>
      <c r="D50" s="23" t="s">
        <v>299</v>
      </c>
      <c r="E50" s="3">
        <v>550</v>
      </c>
      <c r="F50" s="3">
        <v>610</v>
      </c>
      <c r="G50" s="3">
        <v>700</v>
      </c>
      <c r="H50" s="3">
        <v>845</v>
      </c>
      <c r="I50" s="38">
        <v>1055</v>
      </c>
      <c r="J50" s="44">
        <v>2.6</v>
      </c>
      <c r="K50" s="95">
        <f t="shared" si="11"/>
        <v>1430</v>
      </c>
      <c r="L50" s="102">
        <f t="shared" si="12"/>
        <v>1586</v>
      </c>
      <c r="M50" s="32">
        <f t="shared" si="13"/>
        <v>1820</v>
      </c>
      <c r="N50" s="32">
        <f t="shared" si="14"/>
        <v>2197</v>
      </c>
      <c r="O50" s="11">
        <f t="shared" si="15"/>
        <v>2743</v>
      </c>
      <c r="P50" s="192">
        <v>80</v>
      </c>
      <c r="Q50" s="182" t="s">
        <v>81</v>
      </c>
    </row>
    <row r="51" spans="1:17" s="62" customFormat="1" ht="16.149999999999999" customHeight="1" x14ac:dyDescent="0.2">
      <c r="A51" s="60"/>
      <c r="B51" s="17" t="s">
        <v>40</v>
      </c>
      <c r="C51" s="2" t="s">
        <v>46</v>
      </c>
      <c r="D51" s="23" t="s">
        <v>300</v>
      </c>
      <c r="E51" s="3">
        <v>865</v>
      </c>
      <c r="F51" s="3">
        <v>965</v>
      </c>
      <c r="G51" s="3">
        <v>1105</v>
      </c>
      <c r="H51" s="3">
        <v>1335</v>
      </c>
      <c r="I51" s="38">
        <v>1670</v>
      </c>
      <c r="J51" s="44">
        <v>1.4</v>
      </c>
      <c r="K51" s="95">
        <f t="shared" si="11"/>
        <v>1211</v>
      </c>
      <c r="L51" s="102">
        <f t="shared" si="12"/>
        <v>1351</v>
      </c>
      <c r="M51" s="32">
        <f t="shared" si="13"/>
        <v>1547</v>
      </c>
      <c r="N51" s="32">
        <f t="shared" si="14"/>
        <v>1868.9999999999998</v>
      </c>
      <c r="O51" s="11">
        <f t="shared" si="15"/>
        <v>2338</v>
      </c>
      <c r="P51" s="192">
        <v>80</v>
      </c>
      <c r="Q51" s="182" t="s">
        <v>81</v>
      </c>
    </row>
    <row r="52" spans="1:17" s="62" customFormat="1" ht="16.149999999999999" customHeight="1" x14ac:dyDescent="0.2">
      <c r="A52" s="60"/>
      <c r="B52" s="17" t="s">
        <v>10</v>
      </c>
      <c r="C52" s="2" t="s">
        <v>28</v>
      </c>
      <c r="D52" s="23" t="s">
        <v>303</v>
      </c>
      <c r="E52" s="3">
        <v>675</v>
      </c>
      <c r="F52" s="3">
        <v>750</v>
      </c>
      <c r="G52" s="3">
        <v>865</v>
      </c>
      <c r="H52" s="3">
        <v>1040</v>
      </c>
      <c r="I52" s="38">
        <v>1300</v>
      </c>
      <c r="J52" s="44">
        <v>1.4</v>
      </c>
      <c r="K52" s="95">
        <f t="shared" si="11"/>
        <v>944.99999999999989</v>
      </c>
      <c r="L52" s="102">
        <f t="shared" si="12"/>
        <v>1050</v>
      </c>
      <c r="M52" s="32">
        <f t="shared" si="13"/>
        <v>1211</v>
      </c>
      <c r="N52" s="32">
        <f t="shared" si="14"/>
        <v>1456</v>
      </c>
      <c r="O52" s="11">
        <f t="shared" si="15"/>
        <v>1819.9999999999998</v>
      </c>
      <c r="P52" s="192">
        <v>80</v>
      </c>
      <c r="Q52" s="182" t="s">
        <v>81</v>
      </c>
    </row>
    <row r="53" spans="1:17" s="62" customFormat="1" ht="16.149999999999999" customHeight="1" x14ac:dyDescent="0.2">
      <c r="A53" s="60"/>
      <c r="B53" s="17" t="s">
        <v>22</v>
      </c>
      <c r="C53" s="2" t="s">
        <v>51</v>
      </c>
      <c r="D53" s="23" t="s">
        <v>301</v>
      </c>
      <c r="E53" s="3">
        <v>580</v>
      </c>
      <c r="F53" s="3">
        <v>645</v>
      </c>
      <c r="G53" s="3">
        <v>745</v>
      </c>
      <c r="H53" s="3">
        <v>895</v>
      </c>
      <c r="I53" s="38">
        <v>1120</v>
      </c>
      <c r="J53" s="44">
        <v>2</v>
      </c>
      <c r="K53" s="95">
        <f t="shared" si="11"/>
        <v>1160</v>
      </c>
      <c r="L53" s="102">
        <f t="shared" si="12"/>
        <v>1290</v>
      </c>
      <c r="M53" s="32">
        <f t="shared" si="13"/>
        <v>1490</v>
      </c>
      <c r="N53" s="32">
        <f t="shared" si="14"/>
        <v>1790</v>
      </c>
      <c r="O53" s="11">
        <f t="shared" si="15"/>
        <v>2240</v>
      </c>
      <c r="P53" s="192">
        <v>80</v>
      </c>
      <c r="Q53" s="182" t="s">
        <v>81</v>
      </c>
    </row>
    <row r="54" spans="1:17" s="62" customFormat="1" ht="16.149999999999999" customHeight="1" thickBot="1" x14ac:dyDescent="0.25">
      <c r="A54" s="60"/>
      <c r="B54" s="200" t="s">
        <v>43</v>
      </c>
      <c r="C54" s="201" t="s">
        <v>49</v>
      </c>
      <c r="D54" s="202" t="s">
        <v>302</v>
      </c>
      <c r="E54" s="197">
        <v>735</v>
      </c>
      <c r="F54" s="197">
        <v>820</v>
      </c>
      <c r="G54" s="197">
        <v>940</v>
      </c>
      <c r="H54" s="197">
        <v>1135</v>
      </c>
      <c r="I54" s="198">
        <v>1415</v>
      </c>
      <c r="J54" s="203">
        <v>1.3</v>
      </c>
      <c r="K54" s="162">
        <f>E54*$J54</f>
        <v>955.5</v>
      </c>
      <c r="L54" s="102">
        <f>F54*$J54</f>
        <v>1066</v>
      </c>
      <c r="M54" s="32">
        <f>G54*$J54</f>
        <v>1222</v>
      </c>
      <c r="N54" s="32">
        <f>H54*$J54</f>
        <v>1475.5</v>
      </c>
      <c r="O54" s="11">
        <f>I54*$J54</f>
        <v>1839.5</v>
      </c>
      <c r="P54" s="192">
        <v>80</v>
      </c>
      <c r="Q54" s="184" t="s">
        <v>81</v>
      </c>
    </row>
    <row r="55" spans="1:17" s="62" customFormat="1" ht="16.149999999999999" customHeight="1" x14ac:dyDescent="0.2">
      <c r="A55" s="163"/>
      <c r="B55" s="164" t="s">
        <v>2</v>
      </c>
      <c r="C55" s="165" t="s">
        <v>139</v>
      </c>
      <c r="D55" s="166" t="s">
        <v>304</v>
      </c>
      <c r="E55" s="167">
        <v>575</v>
      </c>
      <c r="F55" s="167">
        <v>640</v>
      </c>
      <c r="G55" s="167">
        <v>735</v>
      </c>
      <c r="H55" s="167">
        <v>885</v>
      </c>
      <c r="I55" s="168">
        <v>1105</v>
      </c>
      <c r="J55" s="169">
        <v>2</v>
      </c>
      <c r="K55" s="170"/>
      <c r="L55" s="102">
        <f>F55*$J55</f>
        <v>1280</v>
      </c>
      <c r="M55" s="32">
        <f t="shared" ref="M55:M66" si="16">G55*$J55</f>
        <v>1470</v>
      </c>
      <c r="N55" s="32">
        <f t="shared" ref="N55:N66" si="17">H55*$J55</f>
        <v>1770</v>
      </c>
      <c r="O55" s="11">
        <f t="shared" ref="O55:O66" si="18">I55*$J55</f>
        <v>2210</v>
      </c>
      <c r="P55" s="192">
        <v>80</v>
      </c>
      <c r="Q55" s="182"/>
    </row>
    <row r="56" spans="1:17" s="62" customFormat="1" ht="16.149999999999999" customHeight="1" x14ac:dyDescent="0.2">
      <c r="A56" s="173"/>
      <c r="B56" s="17" t="s">
        <v>14</v>
      </c>
      <c r="C56" s="2" t="s">
        <v>140</v>
      </c>
      <c r="D56" s="23" t="s">
        <v>305</v>
      </c>
      <c r="E56" s="3">
        <v>480</v>
      </c>
      <c r="F56" s="3">
        <v>535</v>
      </c>
      <c r="G56" s="3">
        <v>615</v>
      </c>
      <c r="H56" s="3">
        <v>740</v>
      </c>
      <c r="I56" s="38">
        <v>925</v>
      </c>
      <c r="J56" s="44">
        <v>3.9</v>
      </c>
      <c r="K56" s="95"/>
      <c r="L56" s="102">
        <f t="shared" ref="L56:L66" si="19">F56*$J56</f>
        <v>2086.5</v>
      </c>
      <c r="M56" s="32">
        <f t="shared" si="16"/>
        <v>2398.5</v>
      </c>
      <c r="N56" s="32">
        <f t="shared" si="17"/>
        <v>2886</v>
      </c>
      <c r="O56" s="11">
        <f t="shared" si="18"/>
        <v>3607.5</v>
      </c>
      <c r="P56" s="192">
        <v>80</v>
      </c>
      <c r="Q56" s="182"/>
    </row>
    <row r="57" spans="1:17" s="62" customFormat="1" ht="16.149999999999999" customHeight="1" x14ac:dyDescent="0.2">
      <c r="A57" s="173"/>
      <c r="B57" s="17" t="s">
        <v>35</v>
      </c>
      <c r="C57" s="2" t="s">
        <v>141</v>
      </c>
      <c r="D57" s="23" t="s">
        <v>306</v>
      </c>
      <c r="E57" s="3">
        <v>620</v>
      </c>
      <c r="F57" s="3">
        <v>690</v>
      </c>
      <c r="G57" s="3">
        <v>795</v>
      </c>
      <c r="H57" s="3">
        <v>955</v>
      </c>
      <c r="I57" s="38">
        <v>1195</v>
      </c>
      <c r="J57" s="44">
        <v>2.6</v>
      </c>
      <c r="K57" s="95"/>
      <c r="L57" s="102">
        <f t="shared" si="19"/>
        <v>1794</v>
      </c>
      <c r="M57" s="32">
        <f t="shared" si="16"/>
        <v>2067</v>
      </c>
      <c r="N57" s="32">
        <f t="shared" si="17"/>
        <v>2483</v>
      </c>
      <c r="O57" s="11">
        <f t="shared" si="18"/>
        <v>3107</v>
      </c>
      <c r="P57" s="192">
        <v>80</v>
      </c>
      <c r="Q57" s="182"/>
    </row>
    <row r="58" spans="1:17" s="62" customFormat="1" ht="16.149999999999999" customHeight="1" x14ac:dyDescent="0.2">
      <c r="A58" s="173"/>
      <c r="B58" s="17" t="s">
        <v>5</v>
      </c>
      <c r="C58" s="2" t="s">
        <v>142</v>
      </c>
      <c r="D58" s="23" t="s">
        <v>307</v>
      </c>
      <c r="E58" s="3">
        <v>575</v>
      </c>
      <c r="F58" s="3">
        <v>640</v>
      </c>
      <c r="G58" s="3">
        <v>735</v>
      </c>
      <c r="H58" s="3">
        <v>885</v>
      </c>
      <c r="I58" s="38">
        <v>1105</v>
      </c>
      <c r="J58" s="44">
        <v>1.8</v>
      </c>
      <c r="K58" s="95"/>
      <c r="L58" s="102">
        <f t="shared" si="19"/>
        <v>1152</v>
      </c>
      <c r="M58" s="32">
        <f t="shared" si="16"/>
        <v>1323</v>
      </c>
      <c r="N58" s="32">
        <f t="shared" si="17"/>
        <v>1593</v>
      </c>
      <c r="O58" s="11">
        <f t="shared" si="18"/>
        <v>1989</v>
      </c>
      <c r="P58" s="192">
        <v>80</v>
      </c>
      <c r="Q58" s="182"/>
    </row>
    <row r="59" spans="1:17" s="62" customFormat="1" ht="16.149999999999999" customHeight="1" x14ac:dyDescent="0.2">
      <c r="A59" s="173"/>
      <c r="B59" s="17" t="s">
        <v>17</v>
      </c>
      <c r="C59" s="2" t="s">
        <v>143</v>
      </c>
      <c r="D59" s="23" t="s">
        <v>308</v>
      </c>
      <c r="E59" s="3">
        <v>505</v>
      </c>
      <c r="F59" s="3">
        <v>560</v>
      </c>
      <c r="G59" s="3">
        <v>640</v>
      </c>
      <c r="H59" s="3">
        <v>775</v>
      </c>
      <c r="I59" s="38">
        <v>965</v>
      </c>
      <c r="J59" s="44">
        <v>2.6</v>
      </c>
      <c r="K59" s="95"/>
      <c r="L59" s="102">
        <f t="shared" si="19"/>
        <v>1456</v>
      </c>
      <c r="M59" s="32">
        <f t="shared" si="16"/>
        <v>1664</v>
      </c>
      <c r="N59" s="32">
        <f t="shared" si="17"/>
        <v>2015</v>
      </c>
      <c r="O59" s="11">
        <f t="shared" si="18"/>
        <v>2509</v>
      </c>
      <c r="P59" s="192">
        <v>80</v>
      </c>
      <c r="Q59" s="182"/>
    </row>
    <row r="60" spans="1:17" s="62" customFormat="1" ht="16.149999999999999" customHeight="1" x14ac:dyDescent="0.2">
      <c r="A60" s="173"/>
      <c r="B60" s="17" t="s">
        <v>36</v>
      </c>
      <c r="C60" s="2" t="s">
        <v>144</v>
      </c>
      <c r="D60" s="23" t="s">
        <v>309</v>
      </c>
      <c r="E60" s="3">
        <v>585</v>
      </c>
      <c r="F60" s="3">
        <v>650</v>
      </c>
      <c r="G60" s="3">
        <v>750</v>
      </c>
      <c r="H60" s="3">
        <v>905</v>
      </c>
      <c r="I60" s="38">
        <v>1130</v>
      </c>
      <c r="J60" s="44">
        <v>1.9</v>
      </c>
      <c r="K60" s="95"/>
      <c r="L60" s="102">
        <f t="shared" si="19"/>
        <v>1235</v>
      </c>
      <c r="M60" s="32">
        <f t="shared" si="16"/>
        <v>1425</v>
      </c>
      <c r="N60" s="32">
        <f t="shared" si="17"/>
        <v>1719.5</v>
      </c>
      <c r="O60" s="11">
        <f t="shared" si="18"/>
        <v>2147</v>
      </c>
      <c r="P60" s="192">
        <v>80</v>
      </c>
      <c r="Q60" s="182"/>
    </row>
    <row r="61" spans="1:17" s="62" customFormat="1" ht="16.149999999999999" customHeight="1" x14ac:dyDescent="0.2">
      <c r="A61" s="173"/>
      <c r="B61" s="17" t="s">
        <v>8</v>
      </c>
      <c r="C61" s="2" t="s">
        <v>26</v>
      </c>
      <c r="D61" s="23" t="s">
        <v>310</v>
      </c>
      <c r="E61" s="3">
        <v>695</v>
      </c>
      <c r="F61" s="3">
        <v>770</v>
      </c>
      <c r="G61" s="3">
        <v>885</v>
      </c>
      <c r="H61" s="3">
        <v>1065</v>
      </c>
      <c r="I61" s="38">
        <v>1335</v>
      </c>
      <c r="J61" s="44">
        <v>1.3</v>
      </c>
      <c r="K61" s="95"/>
      <c r="L61" s="102">
        <f t="shared" si="19"/>
        <v>1001</v>
      </c>
      <c r="M61" s="32">
        <f t="shared" si="16"/>
        <v>1150.5</v>
      </c>
      <c r="N61" s="32">
        <f t="shared" si="17"/>
        <v>1384.5</v>
      </c>
      <c r="O61" s="11">
        <f t="shared" si="18"/>
        <v>1735.5</v>
      </c>
      <c r="P61" s="192">
        <v>80</v>
      </c>
      <c r="Q61" s="182"/>
    </row>
    <row r="62" spans="1:17" s="62" customFormat="1" ht="16.149999999999999" customHeight="1" x14ac:dyDescent="0.2">
      <c r="A62" s="173"/>
      <c r="B62" s="17" t="s">
        <v>20</v>
      </c>
      <c r="C62" s="2" t="s">
        <v>31</v>
      </c>
      <c r="D62" s="23" t="s">
        <v>311</v>
      </c>
      <c r="E62" s="3">
        <v>515</v>
      </c>
      <c r="F62" s="3">
        <v>570</v>
      </c>
      <c r="G62" s="3">
        <v>655</v>
      </c>
      <c r="H62" s="3">
        <v>790</v>
      </c>
      <c r="I62" s="38">
        <v>990</v>
      </c>
      <c r="J62" s="44">
        <v>2.6</v>
      </c>
      <c r="K62" s="95"/>
      <c r="L62" s="102">
        <f t="shared" si="19"/>
        <v>1482</v>
      </c>
      <c r="M62" s="32">
        <f t="shared" si="16"/>
        <v>1703</v>
      </c>
      <c r="N62" s="32">
        <f t="shared" si="17"/>
        <v>2054</v>
      </c>
      <c r="O62" s="11">
        <f t="shared" si="18"/>
        <v>2574</v>
      </c>
      <c r="P62" s="192">
        <v>80</v>
      </c>
      <c r="Q62" s="182"/>
    </row>
    <row r="63" spans="1:17" s="62" customFormat="1" ht="16.149999999999999" customHeight="1" x14ac:dyDescent="0.2">
      <c r="A63" s="173"/>
      <c r="B63" s="17" t="s">
        <v>41</v>
      </c>
      <c r="C63" s="2" t="s">
        <v>47</v>
      </c>
      <c r="D63" s="23" t="s">
        <v>312</v>
      </c>
      <c r="E63" s="3">
        <v>810</v>
      </c>
      <c r="F63" s="3">
        <v>900</v>
      </c>
      <c r="G63" s="3">
        <v>1035</v>
      </c>
      <c r="H63" s="3">
        <v>1250</v>
      </c>
      <c r="I63" s="38">
        <v>1560</v>
      </c>
      <c r="J63" s="44">
        <v>1.4</v>
      </c>
      <c r="K63" s="95"/>
      <c r="L63" s="102">
        <f t="shared" si="19"/>
        <v>1260</v>
      </c>
      <c r="M63" s="32">
        <f t="shared" si="16"/>
        <v>1449</v>
      </c>
      <c r="N63" s="32">
        <f t="shared" si="17"/>
        <v>1750</v>
      </c>
      <c r="O63" s="11">
        <f t="shared" si="18"/>
        <v>2184</v>
      </c>
      <c r="P63" s="192">
        <v>80</v>
      </c>
      <c r="Q63" s="182"/>
    </row>
    <row r="64" spans="1:17" s="62" customFormat="1" ht="16.149999999999999" customHeight="1" x14ac:dyDescent="0.2">
      <c r="A64" s="173"/>
      <c r="B64" s="17" t="s">
        <v>11</v>
      </c>
      <c r="C64" s="2" t="s">
        <v>29</v>
      </c>
      <c r="D64" s="23" t="s">
        <v>313</v>
      </c>
      <c r="E64" s="3">
        <v>635</v>
      </c>
      <c r="F64" s="3">
        <v>705</v>
      </c>
      <c r="G64" s="3">
        <v>810</v>
      </c>
      <c r="H64" s="3">
        <v>975</v>
      </c>
      <c r="I64" s="38">
        <v>1215</v>
      </c>
      <c r="J64" s="44">
        <v>1.4</v>
      </c>
      <c r="K64" s="95"/>
      <c r="L64" s="102">
        <f t="shared" si="19"/>
        <v>986.99999999999989</v>
      </c>
      <c r="M64" s="32">
        <f t="shared" si="16"/>
        <v>1134</v>
      </c>
      <c r="N64" s="32">
        <f t="shared" si="17"/>
        <v>1365</v>
      </c>
      <c r="O64" s="11">
        <f t="shared" si="18"/>
        <v>1701</v>
      </c>
      <c r="P64" s="192">
        <v>80</v>
      </c>
      <c r="Q64" s="182"/>
    </row>
    <row r="65" spans="1:17" s="62" customFormat="1" ht="16.149999999999999" customHeight="1" x14ac:dyDescent="0.2">
      <c r="A65" s="173"/>
      <c r="B65" s="17" t="s">
        <v>23</v>
      </c>
      <c r="C65" s="2" t="s">
        <v>52</v>
      </c>
      <c r="D65" s="23" t="s">
        <v>314</v>
      </c>
      <c r="E65" s="3">
        <v>545</v>
      </c>
      <c r="F65" s="3">
        <v>605</v>
      </c>
      <c r="G65" s="3">
        <v>695</v>
      </c>
      <c r="H65" s="3">
        <v>840</v>
      </c>
      <c r="I65" s="38">
        <v>1050</v>
      </c>
      <c r="J65" s="44">
        <v>2</v>
      </c>
      <c r="K65" s="95"/>
      <c r="L65" s="102">
        <f t="shared" si="19"/>
        <v>1210</v>
      </c>
      <c r="M65" s="32">
        <f t="shared" si="16"/>
        <v>1390</v>
      </c>
      <c r="N65" s="32">
        <f t="shared" si="17"/>
        <v>1680</v>
      </c>
      <c r="O65" s="11">
        <f t="shared" si="18"/>
        <v>2100</v>
      </c>
      <c r="P65" s="192">
        <v>80</v>
      </c>
      <c r="Q65" s="182"/>
    </row>
    <row r="66" spans="1:17" s="62" customFormat="1" ht="16.149999999999999" customHeight="1" thickBot="1" x14ac:dyDescent="0.25">
      <c r="A66" s="174"/>
      <c r="B66" s="19" t="s">
        <v>44</v>
      </c>
      <c r="C66" s="20" t="s">
        <v>50</v>
      </c>
      <c r="D66" s="24" t="s">
        <v>315</v>
      </c>
      <c r="E66" s="21">
        <v>690</v>
      </c>
      <c r="F66" s="21">
        <v>765</v>
      </c>
      <c r="G66" s="21">
        <v>880</v>
      </c>
      <c r="H66" s="21">
        <v>1060</v>
      </c>
      <c r="I66" s="39">
        <v>1325</v>
      </c>
      <c r="J66" s="45">
        <v>1.3</v>
      </c>
      <c r="K66" s="97"/>
      <c r="L66" s="104">
        <f t="shared" si="19"/>
        <v>994.5</v>
      </c>
      <c r="M66" s="33">
        <f t="shared" si="16"/>
        <v>1144</v>
      </c>
      <c r="N66" s="33">
        <f t="shared" si="17"/>
        <v>1378</v>
      </c>
      <c r="O66" s="193">
        <f t="shared" si="18"/>
        <v>1722.5</v>
      </c>
      <c r="P66" s="194">
        <v>80</v>
      </c>
      <c r="Q66" s="182"/>
    </row>
    <row r="67" spans="1:17" ht="13.15" customHeight="1" thickBot="1" x14ac:dyDescent="0.25"/>
    <row r="68" spans="1:17" ht="25.15" customHeight="1" thickBot="1" x14ac:dyDescent="0.25">
      <c r="B68" s="64"/>
      <c r="C68" s="64" t="s">
        <v>58</v>
      </c>
      <c r="D68" s="65"/>
      <c r="E68" s="65"/>
      <c r="F68" s="65"/>
      <c r="G68" s="65"/>
      <c r="H68" s="66"/>
      <c r="L68" s="157">
        <f>SUM(L7:P66)+SUM('SW-Bau-Index'!D16:E71)</f>
        <v>486728.77291666658</v>
      </c>
    </row>
    <row r="69" spans="1:17" ht="13.5" thickBot="1" x14ac:dyDescent="0.25">
      <c r="B69" s="67"/>
      <c r="C69" s="67"/>
      <c r="D69" s="68"/>
      <c r="E69" s="68"/>
      <c r="F69" s="68"/>
      <c r="G69" s="69" t="s">
        <v>70</v>
      </c>
      <c r="H69" s="70" t="s">
        <v>71</v>
      </c>
      <c r="L69" s="157">
        <v>470296.77291666664</v>
      </c>
    </row>
    <row r="70" spans="1:17" ht="13.5" thickBot="1" x14ac:dyDescent="0.25">
      <c r="B70" s="52"/>
      <c r="C70" s="826" t="s">
        <v>84</v>
      </c>
      <c r="D70" s="827"/>
      <c r="E70" s="71"/>
      <c r="F70" s="72" t="e">
        <f>ROUND(VLOOKUP(KPA!O7,D6:O66,IF(KPA!F11&lt;0,8,IF(KPA!F11&lt;1995,9,IF(KPA!F11&lt;2005,10,11))),FALSE),0)</f>
        <v>#N/A</v>
      </c>
      <c r="G70" s="25">
        <f>ROUND(485*(3*6*1.3),0)</f>
        <v>11349</v>
      </c>
      <c r="H70" s="26">
        <f>ROUND(715*(7.5*2.3*1.1),0)</f>
        <v>13567</v>
      </c>
    </row>
    <row r="71" spans="1:17" ht="13.5" thickBot="1" x14ac:dyDescent="0.25">
      <c r="B71" s="362"/>
      <c r="C71" s="826" t="s">
        <v>263</v>
      </c>
      <c r="D71" s="827"/>
      <c r="E71" s="71"/>
      <c r="F71" s="72" t="e">
        <f>IF(KPA!G46&gt;0,F70*KPA!G46,F70)</f>
        <v>#N/A</v>
      </c>
      <c r="G71" s="363"/>
      <c r="H71" s="364"/>
    </row>
    <row r="72" spans="1:17" ht="13.5" thickBot="1" x14ac:dyDescent="0.25">
      <c r="B72" s="646"/>
      <c r="C72" s="646"/>
      <c r="D72" s="647" t="s">
        <v>80</v>
      </c>
      <c r="E72" s="71"/>
      <c r="F72" s="653" t="e">
        <f>VLOOKUP(KPA!O7,D6:O66,7,FALSE)</f>
        <v>#N/A</v>
      </c>
      <c r="G72" s="363"/>
      <c r="H72" s="364"/>
    </row>
    <row r="73" spans="1:17" s="75" customFormat="1" ht="13.5" thickBot="1" x14ac:dyDescent="0.25">
      <c r="B73" s="7"/>
      <c r="C73" s="7"/>
      <c r="D73" s="8" t="s">
        <v>85</v>
      </c>
      <c r="E73" s="73"/>
      <c r="F73" s="74" t="e">
        <f>IF(OR(LEFT(KPA!O7,3)="Woh",KPA!O7="Teileigentum: Mietwohngrundstücke (Mehrfamilienhäuser)"),IF(KPA!K11&lt;=35,ROUND('SW-NHK'!F71*1.1,0),IF(KPA!K11&gt;=135,ROUND('SW-NHK'!F71*0.85,0),F71)),'SW-NHK'!F71)</f>
        <v>#N/A</v>
      </c>
      <c r="G73" s="27"/>
      <c r="H73" s="28"/>
    </row>
    <row r="74" spans="1:17" s="75" customFormat="1" ht="13.5" thickBot="1" x14ac:dyDescent="0.25">
      <c r="B74" s="7"/>
      <c r="C74" s="7"/>
      <c r="D74" s="8" t="s">
        <v>119</v>
      </c>
      <c r="E74" s="73"/>
      <c r="F74" s="107" t="e">
        <f>ROUND(F73*1.03,0)</f>
        <v>#N/A</v>
      </c>
      <c r="G74" s="27"/>
      <c r="H74" s="28"/>
    </row>
    <row r="75" spans="1:17" ht="13.5" thickBot="1" x14ac:dyDescent="0.25">
      <c r="B75" s="53"/>
      <c r="C75" s="828" t="s">
        <v>83</v>
      </c>
      <c r="D75" s="829"/>
      <c r="E75" s="76"/>
      <c r="F75" s="77" t="e">
        <f>ROUND(VLOOKUP(KPA!O7,D6:P66,13,0),0)</f>
        <v>#N/A</v>
      </c>
      <c r="G75" s="78"/>
      <c r="H75" s="79"/>
    </row>
    <row r="76" spans="1:17" ht="13.5" thickBot="1" x14ac:dyDescent="0.25">
      <c r="B76" s="648"/>
      <c r="C76" s="648"/>
      <c r="D76" s="649" t="s">
        <v>252</v>
      </c>
      <c r="E76" s="76"/>
      <c r="F76" s="651" t="e">
        <f>IF(((F75-(KPA!G10-KPA!F11))*100)/F75&lt;30,F75*0.3,(F75-(KPA!G10-KPA!F11)))</f>
        <v>#N/A</v>
      </c>
      <c r="G76" s="78"/>
      <c r="H76" s="79"/>
    </row>
    <row r="77" spans="1:17" ht="54" customHeight="1" thickBot="1" x14ac:dyDescent="0.25">
      <c r="B77" s="54"/>
      <c r="C77" s="830" t="s">
        <v>90</v>
      </c>
      <c r="D77" s="829"/>
      <c r="E77" s="76"/>
      <c r="F77" s="650" t="e">
        <f>IF(((F75-(KPA!G10-KPA!F11))*100)/F75&lt;30,30,((F75-(KPA!G10-KPA!F11))*100)/F75)</f>
        <v>#N/A</v>
      </c>
      <c r="G77" s="78"/>
      <c r="H77" s="79"/>
    </row>
    <row r="78" spans="1:17" ht="13.5" thickBot="1" x14ac:dyDescent="0.25">
      <c r="B78" s="51"/>
      <c r="C78" s="822" t="s">
        <v>86</v>
      </c>
      <c r="D78" s="823"/>
      <c r="E78" s="80"/>
      <c r="F78" s="81" t="e">
        <f>ROUND(F74*F77/100,0)</f>
        <v>#N/A</v>
      </c>
      <c r="G78" s="82" t="e">
        <f>ROUND(G70*F77/100,0)</f>
        <v>#N/A</v>
      </c>
      <c r="H78" s="83" t="e">
        <f>H70*F77/100</f>
        <v>#N/A</v>
      </c>
    </row>
    <row r="79" spans="1:17" ht="13.5" thickBot="1" x14ac:dyDescent="0.25">
      <c r="B79" s="84"/>
      <c r="C79" s="824" t="s">
        <v>69</v>
      </c>
      <c r="D79" s="825"/>
      <c r="E79" s="85"/>
      <c r="F79" s="86" t="e">
        <f>IF(KPA!E7="Geschäftsgrundstücke, Geschäftshäuser",'SW-Bau-Index'!E73,IF(KPA!E7="Geschäftsgrundstücke, Bürogebäude",'SW-Bau-Index'!E73,IF(KPA!E7="Teileigentum: Geschäftsgrundstücke (Geschäfts.)",'SW-Bau-Index'!E73,IF(KPA!E7="Teileigentum: Geschäftsgrundstücke (Bürog.) ",'SW-Bau-Index'!E73,'SW-Bau-Index'!D73))))</f>
        <v>#N/A</v>
      </c>
      <c r="G79" s="78"/>
      <c r="H79" s="79"/>
    </row>
    <row r="80" spans="1:17" ht="67.900000000000006" customHeight="1" thickBot="1" x14ac:dyDescent="0.25">
      <c r="B80" s="816" t="s">
        <v>87</v>
      </c>
      <c r="C80" s="817"/>
      <c r="D80" s="818"/>
      <c r="E80" s="80"/>
      <c r="F80" s="29" t="e">
        <f>ROUND(F78*F79/100,0)</f>
        <v>#N/A</v>
      </c>
      <c r="G80" s="30" t="e">
        <f>ROUND(G78*F79/100,0)</f>
        <v>#N/A</v>
      </c>
      <c r="H80" s="31" t="e">
        <f>ROUND(H78*F79/100,0)</f>
        <v>#N/A</v>
      </c>
    </row>
  </sheetData>
  <sheetProtection algorithmName="SHA-512" hashValue="Z8usnBzMdMjOSOkQy/6uIU7APfOMmRX0fy3XrBpvOwywNdjEBYg6TJ7nxJoE5LvSqLGpbfU8Grav0jXavIcCdg==" saltValue="KlfGgiB1ll8aEtAlR4g7yA==" spinCount="100000" sheet="1" objects="1" scenarios="1"/>
  <customSheetViews>
    <customSheetView guid="{B8FE7C60-7D84-469C-BE86-7AE2888FE41C}" scale="80" showPageBreaks="1" hiddenColumns="1" state="hidden" view="pageBreakPreview" topLeftCell="A56">
      <selection activeCell="D61" sqref="D61"/>
      <rowBreaks count="1" manualBreakCount="1">
        <brk id="48" max="16383" man="1"/>
      </rowBreaks>
      <pageMargins left="0.7" right="0.7" top="0.78740157499999996" bottom="0.78740157499999996" header="0.3" footer="0.3"/>
      <pageSetup paperSize="9" scale="41" orientation="portrait" r:id="rId1"/>
    </customSheetView>
  </customSheetViews>
  <mergeCells count="10">
    <mergeCell ref="B80:D80"/>
    <mergeCell ref="K2:O2"/>
    <mergeCell ref="E2:I2"/>
    <mergeCell ref="C78:D78"/>
    <mergeCell ref="C79:D79"/>
    <mergeCell ref="C70:D70"/>
    <mergeCell ref="C75:D75"/>
    <mergeCell ref="C77:D77"/>
    <mergeCell ref="L4:N4"/>
    <mergeCell ref="C71:D71"/>
  </mergeCells>
  <pageMargins left="0.70866141732283472" right="0.70866141732283472" top="0.78740157480314965" bottom="0.78740157480314965" header="0.31496062992125984" footer="0.31496062992125984"/>
  <pageSetup paperSize="9" scale="41" orientation="portrait" r:id="rId2"/>
  <rowBreaks count="1" manualBreakCount="1">
    <brk id="66" max="16383" man="1"/>
  </rowBreak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C00000"/>
  </sheetPr>
  <dimension ref="A1:G73"/>
  <sheetViews>
    <sheetView zoomScale="145" zoomScaleNormal="145" workbookViewId="0">
      <selection activeCell="B2" sqref="B2:C2"/>
    </sheetView>
  </sheetViews>
  <sheetFormatPr baseColWidth="10" defaultRowHeight="12.75" x14ac:dyDescent="0.2"/>
  <cols>
    <col min="1" max="3" width="15" customWidth="1"/>
    <col min="4" max="4" width="18.7109375" style="111" customWidth="1"/>
    <col min="5" max="5" width="18.7109375" style="46" customWidth="1"/>
  </cols>
  <sheetData>
    <row r="1" spans="1:7" s="10" customFormat="1" ht="151.9" customHeight="1" x14ac:dyDescent="0.2">
      <c r="A1" s="47"/>
      <c r="B1" s="840" t="s">
        <v>89</v>
      </c>
      <c r="C1" s="840"/>
      <c r="D1" s="840"/>
      <c r="E1" s="840"/>
      <c r="F1" s="47"/>
      <c r="G1" s="47"/>
    </row>
    <row r="2" spans="1:7" s="10" customFormat="1" ht="21" customHeight="1" x14ac:dyDescent="0.2">
      <c r="A2" s="47"/>
      <c r="B2" s="836" t="s">
        <v>236</v>
      </c>
      <c r="C2" s="837"/>
      <c r="D2" s="838" t="s">
        <v>237</v>
      </c>
      <c r="E2" s="839"/>
      <c r="F2" s="47"/>
      <c r="G2" s="47"/>
    </row>
    <row r="3" spans="1:7" s="10" customFormat="1" ht="30" customHeight="1" x14ac:dyDescent="0.2">
      <c r="A3" s="47"/>
      <c r="B3" s="339" t="s">
        <v>122</v>
      </c>
      <c r="C3" s="337" t="s">
        <v>123</v>
      </c>
      <c r="D3" s="115" t="s">
        <v>122</v>
      </c>
      <c r="E3" s="116" t="s">
        <v>123</v>
      </c>
      <c r="F3" s="47"/>
      <c r="G3" s="47"/>
    </row>
    <row r="4" spans="1:7" s="10" customFormat="1" ht="14.45" customHeight="1" x14ac:dyDescent="0.2">
      <c r="A4" s="48" t="s">
        <v>67</v>
      </c>
      <c r="B4" s="340"/>
      <c r="C4" s="340"/>
      <c r="D4" s="834"/>
      <c r="E4" s="835"/>
      <c r="F4" s="47"/>
      <c r="G4" s="47"/>
    </row>
    <row r="5" spans="1:7" x14ac:dyDescent="0.2">
      <c r="A5" s="49">
        <v>2024</v>
      </c>
      <c r="B5" s="600">
        <v>116.4</v>
      </c>
      <c r="C5" s="601">
        <v>116.8</v>
      </c>
      <c r="D5" s="343">
        <f t="shared" ref="D5:D6" si="0">ROUND(B5/B$19*100,1)</f>
        <v>129.19999999999999</v>
      </c>
      <c r="E5" s="342">
        <f t="shared" ref="E5:E6" si="1">ROUND(C5/C$19*100,1)</f>
        <v>130.1</v>
      </c>
    </row>
    <row r="6" spans="1:7" x14ac:dyDescent="0.2">
      <c r="A6" s="49">
        <v>2023</v>
      </c>
      <c r="B6" s="600">
        <v>116.4</v>
      </c>
      <c r="C6" s="601">
        <v>116.8</v>
      </c>
      <c r="D6" s="343">
        <f t="shared" si="0"/>
        <v>129.19999999999999</v>
      </c>
      <c r="E6" s="342">
        <f t="shared" si="1"/>
        <v>130.1</v>
      </c>
    </row>
    <row r="7" spans="1:7" x14ac:dyDescent="0.2">
      <c r="A7" s="49">
        <v>2022</v>
      </c>
      <c r="B7" s="600">
        <v>116.4</v>
      </c>
      <c r="C7" s="601">
        <v>116.8</v>
      </c>
      <c r="D7" s="343">
        <f t="shared" ref="D7:E11" si="2">ROUND(B7/B$19*100,1)</f>
        <v>129.19999999999999</v>
      </c>
      <c r="E7" s="342">
        <f t="shared" si="2"/>
        <v>130.1</v>
      </c>
    </row>
    <row r="8" spans="1:7" x14ac:dyDescent="0.2">
      <c r="A8" s="49">
        <v>2021</v>
      </c>
      <c r="B8" s="600">
        <v>116.4</v>
      </c>
      <c r="C8" s="601">
        <v>116.8</v>
      </c>
      <c r="D8" s="343">
        <f t="shared" si="2"/>
        <v>129.19999999999999</v>
      </c>
      <c r="E8" s="342">
        <f t="shared" si="2"/>
        <v>130.1</v>
      </c>
    </row>
    <row r="9" spans="1:7" x14ac:dyDescent="0.2">
      <c r="A9" s="49">
        <v>2020</v>
      </c>
      <c r="B9" s="344">
        <v>116.4</v>
      </c>
      <c r="C9" s="338">
        <v>116.8</v>
      </c>
      <c r="D9" s="343">
        <f t="shared" si="2"/>
        <v>129.19999999999999</v>
      </c>
      <c r="E9" s="342">
        <f t="shared" si="2"/>
        <v>130.1</v>
      </c>
    </row>
    <row r="10" spans="1:7" x14ac:dyDescent="0.2">
      <c r="A10" s="49">
        <v>2019</v>
      </c>
      <c r="B10" s="344">
        <v>114.6</v>
      </c>
      <c r="C10" s="338">
        <v>115</v>
      </c>
      <c r="D10" s="343">
        <f t="shared" si="2"/>
        <v>127.2</v>
      </c>
      <c r="E10" s="342">
        <f t="shared" si="2"/>
        <v>128.1</v>
      </c>
    </row>
    <row r="11" spans="1:7" x14ac:dyDescent="0.2">
      <c r="A11" s="49">
        <v>2018</v>
      </c>
      <c r="B11" s="344">
        <v>109.9</v>
      </c>
      <c r="C11" s="338">
        <v>110.2</v>
      </c>
      <c r="D11" s="343">
        <f t="shared" si="2"/>
        <v>122</v>
      </c>
      <c r="E11" s="342">
        <f t="shared" si="2"/>
        <v>122.7</v>
      </c>
    </row>
    <row r="12" spans="1:7" x14ac:dyDescent="0.2">
      <c r="A12" s="49">
        <v>2017</v>
      </c>
      <c r="B12" s="345">
        <v>105.3</v>
      </c>
      <c r="C12" s="341">
        <v>105.5</v>
      </c>
      <c r="D12" s="108">
        <v>116.8</v>
      </c>
      <c r="E12" s="112">
        <v>117.4</v>
      </c>
    </row>
    <row r="13" spans="1:7" x14ac:dyDescent="0.2">
      <c r="A13" s="49">
        <v>2016</v>
      </c>
      <c r="B13" s="345">
        <v>102.1</v>
      </c>
      <c r="C13" s="341">
        <v>102.2</v>
      </c>
      <c r="D13" s="108">
        <v>113.4</v>
      </c>
      <c r="E13" s="112">
        <v>113.9</v>
      </c>
    </row>
    <row r="14" spans="1:7" x14ac:dyDescent="0.2">
      <c r="A14" s="49">
        <v>2015</v>
      </c>
      <c r="B14" s="345">
        <v>100</v>
      </c>
      <c r="C14" s="341">
        <v>100</v>
      </c>
      <c r="D14" s="108">
        <v>111.1</v>
      </c>
      <c r="E14" s="112">
        <v>111.4</v>
      </c>
    </row>
    <row r="15" spans="1:7" x14ac:dyDescent="0.2">
      <c r="A15" s="49">
        <v>2014</v>
      </c>
      <c r="B15" s="345">
        <v>98.5</v>
      </c>
      <c r="C15" s="341">
        <v>98.4</v>
      </c>
      <c r="D15" s="108">
        <v>109.4</v>
      </c>
      <c r="E15" s="112">
        <v>109.6</v>
      </c>
    </row>
    <row r="16" spans="1:7" x14ac:dyDescent="0.2">
      <c r="A16" s="49">
        <v>2013</v>
      </c>
      <c r="B16" s="345">
        <v>96.8</v>
      </c>
      <c r="C16" s="341">
        <v>96.7</v>
      </c>
      <c r="D16" s="108">
        <v>107.5</v>
      </c>
      <c r="E16" s="112">
        <v>107.6</v>
      </c>
    </row>
    <row r="17" spans="1:5" x14ac:dyDescent="0.2">
      <c r="A17" s="49">
        <v>2012</v>
      </c>
      <c r="B17" s="345">
        <v>94.9</v>
      </c>
      <c r="C17" s="341">
        <v>94.8</v>
      </c>
      <c r="D17" s="108">
        <v>105.4</v>
      </c>
      <c r="E17" s="112">
        <v>105.5</v>
      </c>
    </row>
    <row r="18" spans="1:5" x14ac:dyDescent="0.2">
      <c r="A18" s="49">
        <v>2011</v>
      </c>
      <c r="B18" s="345">
        <v>92.5</v>
      </c>
      <c r="C18" s="341">
        <v>92.5</v>
      </c>
      <c r="D18" s="108">
        <v>102.8</v>
      </c>
      <c r="E18" s="112">
        <v>103</v>
      </c>
    </row>
    <row r="19" spans="1:5" x14ac:dyDescent="0.2">
      <c r="A19" s="49">
        <v>2010</v>
      </c>
      <c r="B19" s="345">
        <v>90.1</v>
      </c>
      <c r="C19" s="341">
        <v>89.8</v>
      </c>
      <c r="D19" s="108">
        <v>100</v>
      </c>
      <c r="E19" s="112">
        <v>100</v>
      </c>
    </row>
    <row r="20" spans="1:5" x14ac:dyDescent="0.2">
      <c r="A20" s="49">
        <v>2009</v>
      </c>
      <c r="B20" s="345">
        <v>89.2</v>
      </c>
      <c r="C20" s="341">
        <v>88.7</v>
      </c>
      <c r="D20" s="108">
        <v>99</v>
      </c>
      <c r="E20" s="112">
        <v>98.8</v>
      </c>
    </row>
    <row r="21" spans="1:5" x14ac:dyDescent="0.2">
      <c r="A21" s="49">
        <v>2008</v>
      </c>
      <c r="B21" s="345">
        <v>88.4</v>
      </c>
      <c r="C21" s="341">
        <v>87.9</v>
      </c>
      <c r="D21" s="108">
        <v>98.2</v>
      </c>
      <c r="E21" s="112">
        <v>97.9</v>
      </c>
    </row>
    <row r="22" spans="1:5" x14ac:dyDescent="0.2">
      <c r="A22" s="49">
        <v>2007</v>
      </c>
      <c r="B22" s="345">
        <v>85.9</v>
      </c>
      <c r="C22" s="341">
        <v>85.2</v>
      </c>
      <c r="D22" s="108">
        <v>95.4</v>
      </c>
      <c r="E22" s="112">
        <v>94.8</v>
      </c>
    </row>
    <row r="23" spans="1:5" x14ac:dyDescent="0.2">
      <c r="A23" s="49">
        <v>2006</v>
      </c>
      <c r="B23" s="345">
        <v>80.599999999999994</v>
      </c>
      <c r="C23" s="341">
        <v>79.599999999999994</v>
      </c>
      <c r="D23" s="108">
        <v>89.5</v>
      </c>
      <c r="E23" s="112">
        <v>88.7</v>
      </c>
    </row>
    <row r="24" spans="1:5" x14ac:dyDescent="0.2">
      <c r="A24" s="49">
        <v>2005</v>
      </c>
      <c r="B24" s="345">
        <v>79.099999999999994</v>
      </c>
      <c r="C24" s="341">
        <v>78</v>
      </c>
      <c r="D24" s="108">
        <v>87.8</v>
      </c>
      <c r="E24" s="112">
        <v>86.9</v>
      </c>
    </row>
    <row r="25" spans="1:5" x14ac:dyDescent="0.2">
      <c r="A25" s="49">
        <v>2004</v>
      </c>
      <c r="B25" s="345">
        <v>78.3</v>
      </c>
      <c r="C25" s="341">
        <v>77</v>
      </c>
      <c r="D25" s="108">
        <v>87</v>
      </c>
      <c r="E25" s="112">
        <v>85.8</v>
      </c>
    </row>
    <row r="26" spans="1:5" ht="13.9" customHeight="1" x14ac:dyDescent="0.2">
      <c r="A26" s="49">
        <v>2003</v>
      </c>
      <c r="B26" s="345">
        <v>77.400000000000006</v>
      </c>
      <c r="C26" s="341">
        <v>76</v>
      </c>
      <c r="D26" s="108">
        <v>85.9</v>
      </c>
      <c r="E26" s="112">
        <v>84.6</v>
      </c>
    </row>
    <row r="27" spans="1:5" x14ac:dyDescent="0.2">
      <c r="A27" s="49">
        <v>2002</v>
      </c>
      <c r="B27" s="345">
        <v>77.400000000000006</v>
      </c>
      <c r="C27" s="341">
        <v>75.900000000000006</v>
      </c>
      <c r="D27" s="108">
        <v>85.9</v>
      </c>
      <c r="E27" s="112">
        <v>84.5</v>
      </c>
    </row>
    <row r="28" spans="1:5" x14ac:dyDescent="0.2">
      <c r="A28" s="49">
        <v>2001</v>
      </c>
      <c r="B28" s="345">
        <v>77.400000000000006</v>
      </c>
      <c r="C28" s="341">
        <v>75.8</v>
      </c>
      <c r="D28" s="108">
        <v>85.9</v>
      </c>
      <c r="E28" s="112">
        <v>84.4</v>
      </c>
    </row>
    <row r="29" spans="1:5" x14ac:dyDescent="0.2">
      <c r="A29" s="49">
        <v>2000</v>
      </c>
      <c r="B29" s="345">
        <v>77.400000000000006</v>
      </c>
      <c r="C29" s="341">
        <v>75.5</v>
      </c>
      <c r="D29" s="108">
        <v>85.9</v>
      </c>
      <c r="E29" s="112">
        <v>84.1</v>
      </c>
    </row>
    <row r="30" spans="1:5" x14ac:dyDescent="0.2">
      <c r="A30" s="49">
        <f t="shared" ref="A30:A58" si="3">A29-1</f>
        <v>1999</v>
      </c>
      <c r="B30" s="345">
        <v>77.2</v>
      </c>
      <c r="C30" s="341">
        <v>75</v>
      </c>
      <c r="D30" s="108">
        <v>85.7</v>
      </c>
      <c r="E30" s="112">
        <v>83.5</v>
      </c>
    </row>
    <row r="31" spans="1:5" x14ac:dyDescent="0.2">
      <c r="A31" s="49">
        <f t="shared" si="3"/>
        <v>1998</v>
      </c>
      <c r="B31" s="345">
        <v>77.400000000000006</v>
      </c>
      <c r="C31" s="341">
        <v>75.099999999999994</v>
      </c>
      <c r="D31" s="108">
        <v>86</v>
      </c>
      <c r="E31" s="112">
        <v>83.6</v>
      </c>
    </row>
    <row r="32" spans="1:5" x14ac:dyDescent="0.2">
      <c r="A32" s="49">
        <f t="shared" si="3"/>
        <v>1997</v>
      </c>
      <c r="B32" s="345">
        <v>77.7</v>
      </c>
      <c r="C32" s="341">
        <v>75.099999999999994</v>
      </c>
      <c r="D32" s="108">
        <v>86.3</v>
      </c>
      <c r="E32" s="112">
        <v>83.6</v>
      </c>
    </row>
    <row r="33" spans="1:5" x14ac:dyDescent="0.2">
      <c r="A33" s="49">
        <f t="shared" si="3"/>
        <v>1996</v>
      </c>
      <c r="B33" s="345">
        <v>78.3</v>
      </c>
      <c r="C33" s="341">
        <v>75.5</v>
      </c>
      <c r="D33" s="108">
        <v>86.9</v>
      </c>
      <c r="E33" s="112">
        <v>84.1</v>
      </c>
    </row>
    <row r="34" spans="1:5" x14ac:dyDescent="0.2">
      <c r="A34" s="49">
        <f t="shared" si="3"/>
        <v>1995</v>
      </c>
      <c r="B34" s="345">
        <v>78.400000000000006</v>
      </c>
      <c r="C34" s="341">
        <v>75.400000000000006</v>
      </c>
      <c r="D34" s="108">
        <v>87.1</v>
      </c>
      <c r="E34" s="112">
        <v>84</v>
      </c>
    </row>
    <row r="35" spans="1:5" x14ac:dyDescent="0.2">
      <c r="A35" s="49">
        <f t="shared" si="3"/>
        <v>1994</v>
      </c>
      <c r="B35" s="345">
        <v>76.7</v>
      </c>
      <c r="C35" s="341">
        <v>73.7</v>
      </c>
      <c r="D35" s="108">
        <v>85.1</v>
      </c>
      <c r="E35" s="112">
        <v>82.1</v>
      </c>
    </row>
    <row r="36" spans="1:5" x14ac:dyDescent="0.2">
      <c r="A36" s="49">
        <f t="shared" si="3"/>
        <v>1993</v>
      </c>
      <c r="B36" s="345">
        <v>74.900000000000006</v>
      </c>
      <c r="C36" s="341">
        <v>72</v>
      </c>
      <c r="D36" s="108">
        <v>83.1</v>
      </c>
      <c r="E36" s="112">
        <v>80.2</v>
      </c>
    </row>
    <row r="37" spans="1:5" x14ac:dyDescent="0.2">
      <c r="A37" s="49">
        <f t="shared" si="3"/>
        <v>1992</v>
      </c>
      <c r="B37" s="345">
        <v>71.3</v>
      </c>
      <c r="C37" s="341">
        <v>68.8</v>
      </c>
      <c r="D37" s="108">
        <v>79.2</v>
      </c>
      <c r="E37" s="112">
        <v>76.599999999999994</v>
      </c>
    </row>
    <row r="38" spans="1:5" x14ac:dyDescent="0.2">
      <c r="A38" s="49">
        <f t="shared" si="3"/>
        <v>1991</v>
      </c>
      <c r="B38" s="345">
        <v>67</v>
      </c>
      <c r="C38" s="341">
        <v>64.900000000000006</v>
      </c>
      <c r="D38" s="108">
        <v>74.5</v>
      </c>
      <c r="E38" s="112">
        <v>72.2</v>
      </c>
    </row>
    <row r="39" spans="1:5" x14ac:dyDescent="0.2">
      <c r="A39" s="49">
        <f t="shared" si="3"/>
        <v>1990</v>
      </c>
      <c r="B39" s="345">
        <v>62.7</v>
      </c>
      <c r="C39" s="341">
        <v>60.9</v>
      </c>
      <c r="D39" s="108">
        <v>69.599999999999994</v>
      </c>
      <c r="E39" s="112">
        <v>67.900000000000006</v>
      </c>
    </row>
    <row r="40" spans="1:5" x14ac:dyDescent="0.2">
      <c r="A40" s="49">
        <f t="shared" si="3"/>
        <v>1989</v>
      </c>
      <c r="B40" s="345">
        <v>58.9</v>
      </c>
      <c r="C40" s="341">
        <v>57.6</v>
      </c>
      <c r="D40" s="108">
        <v>65.400000000000006</v>
      </c>
      <c r="E40" s="112">
        <v>64.099999999999994</v>
      </c>
    </row>
    <row r="41" spans="1:5" x14ac:dyDescent="0.2">
      <c r="A41" s="49">
        <f>A40-1</f>
        <v>1988</v>
      </c>
      <c r="B41" s="345">
        <v>56.8</v>
      </c>
      <c r="C41" s="341">
        <v>55.6</v>
      </c>
      <c r="D41" s="108">
        <v>63.1</v>
      </c>
      <c r="E41" s="112">
        <v>61.9</v>
      </c>
    </row>
    <row r="42" spans="1:5" x14ac:dyDescent="0.2">
      <c r="A42" s="49">
        <f t="shared" si="3"/>
        <v>1987</v>
      </c>
      <c r="B42" s="345">
        <v>55.6</v>
      </c>
      <c r="C42" s="341">
        <v>54.2</v>
      </c>
      <c r="D42" s="108">
        <v>61.7</v>
      </c>
      <c r="E42" s="112">
        <v>60.4</v>
      </c>
    </row>
    <row r="43" spans="1:5" x14ac:dyDescent="0.2">
      <c r="A43" s="49">
        <f t="shared" si="3"/>
        <v>1986</v>
      </c>
      <c r="B43" s="345">
        <v>54.6</v>
      </c>
      <c r="C43" s="341">
        <v>53</v>
      </c>
      <c r="D43" s="108">
        <v>60.6</v>
      </c>
      <c r="E43" s="112">
        <v>59</v>
      </c>
    </row>
    <row r="44" spans="1:5" x14ac:dyDescent="0.2">
      <c r="A44" s="49">
        <f t="shared" si="3"/>
        <v>1985</v>
      </c>
      <c r="B44" s="345">
        <v>53.9</v>
      </c>
      <c r="C44" s="341">
        <v>52.1</v>
      </c>
      <c r="D44" s="108">
        <v>59.8</v>
      </c>
      <c r="E44" s="112">
        <v>58</v>
      </c>
    </row>
    <row r="45" spans="1:5" x14ac:dyDescent="0.2">
      <c r="A45" s="49">
        <f t="shared" si="3"/>
        <v>1984</v>
      </c>
      <c r="B45" s="345">
        <v>53.7</v>
      </c>
      <c r="C45" s="341">
        <v>51.6</v>
      </c>
      <c r="D45" s="108">
        <v>59.6</v>
      </c>
      <c r="E45" s="112">
        <v>57.5</v>
      </c>
    </row>
    <row r="46" spans="1:5" x14ac:dyDescent="0.2">
      <c r="A46" s="49">
        <f t="shared" si="3"/>
        <v>1983</v>
      </c>
      <c r="B46" s="345">
        <v>52.3</v>
      </c>
      <c r="C46" s="341">
        <v>50.1</v>
      </c>
      <c r="D46" s="108">
        <v>58.1</v>
      </c>
      <c r="E46" s="112">
        <v>55.9</v>
      </c>
    </row>
    <row r="47" spans="1:5" x14ac:dyDescent="0.2">
      <c r="A47" s="49">
        <f t="shared" si="3"/>
        <v>1982</v>
      </c>
      <c r="B47" s="345">
        <v>51.2</v>
      </c>
      <c r="C47" s="341">
        <v>49</v>
      </c>
      <c r="D47" s="108">
        <v>56.9</v>
      </c>
      <c r="E47" s="112">
        <v>54.6</v>
      </c>
    </row>
    <row r="48" spans="1:5" x14ac:dyDescent="0.2">
      <c r="A48" s="49">
        <f t="shared" si="3"/>
        <v>1981</v>
      </c>
      <c r="B48" s="345">
        <v>49.8</v>
      </c>
      <c r="C48" s="341">
        <v>47.3</v>
      </c>
      <c r="D48" s="108">
        <v>55.3</v>
      </c>
      <c r="E48" s="112">
        <v>52.6</v>
      </c>
    </row>
    <row r="49" spans="1:5" x14ac:dyDescent="0.2">
      <c r="A49" s="49">
        <f t="shared" si="3"/>
        <v>1980</v>
      </c>
      <c r="B49" s="345">
        <v>47.1</v>
      </c>
      <c r="C49" s="341">
        <v>44.5</v>
      </c>
      <c r="D49" s="108">
        <v>52.3</v>
      </c>
      <c r="E49" s="112">
        <v>49.6</v>
      </c>
    </row>
    <row r="50" spans="1:5" x14ac:dyDescent="0.2">
      <c r="A50" s="49">
        <f t="shared" si="3"/>
        <v>1979</v>
      </c>
      <c r="B50" s="345">
        <v>42.5</v>
      </c>
      <c r="C50" s="341">
        <v>40.4</v>
      </c>
      <c r="D50" s="108">
        <v>47.2</v>
      </c>
      <c r="E50" s="112">
        <v>45</v>
      </c>
    </row>
    <row r="51" spans="1:5" x14ac:dyDescent="0.2">
      <c r="A51" s="49">
        <f t="shared" si="3"/>
        <v>1978</v>
      </c>
      <c r="B51" s="345">
        <v>39.1</v>
      </c>
      <c r="C51" s="341">
        <v>37.4</v>
      </c>
      <c r="D51" s="108">
        <v>43.4</v>
      </c>
      <c r="E51" s="112">
        <v>41.6</v>
      </c>
    </row>
    <row r="52" spans="1:5" x14ac:dyDescent="0.2">
      <c r="A52" s="49">
        <f t="shared" si="3"/>
        <v>1977</v>
      </c>
      <c r="B52" s="345">
        <v>36.799999999999997</v>
      </c>
      <c r="C52" s="341">
        <v>35.4</v>
      </c>
      <c r="D52" s="108">
        <v>40.799999999999997</v>
      </c>
      <c r="E52" s="112">
        <v>39.5</v>
      </c>
    </row>
    <row r="53" spans="1:5" x14ac:dyDescent="0.2">
      <c r="A53" s="49">
        <f t="shared" si="3"/>
        <v>1976</v>
      </c>
      <c r="B53" s="345">
        <v>35.200000000000003</v>
      </c>
      <c r="C53" s="341">
        <v>33.799999999999997</v>
      </c>
      <c r="D53" s="108">
        <v>39.1</v>
      </c>
      <c r="E53" s="112">
        <v>37.700000000000003</v>
      </c>
    </row>
    <row r="54" spans="1:5" x14ac:dyDescent="0.2">
      <c r="A54" s="49">
        <f t="shared" si="3"/>
        <v>1975</v>
      </c>
      <c r="B54" s="345">
        <v>34</v>
      </c>
      <c r="C54" s="341">
        <v>32.799999999999997</v>
      </c>
      <c r="D54" s="108">
        <v>37.700000000000003</v>
      </c>
      <c r="E54" s="112">
        <v>36.5</v>
      </c>
    </row>
    <row r="55" spans="1:5" x14ac:dyDescent="0.2">
      <c r="A55" s="49">
        <f t="shared" si="3"/>
        <v>1974</v>
      </c>
      <c r="B55" s="345">
        <v>33.200000000000003</v>
      </c>
      <c r="C55" s="341">
        <v>32.1</v>
      </c>
      <c r="D55" s="108">
        <v>36.799999999999997</v>
      </c>
      <c r="E55" s="112">
        <v>35.700000000000003</v>
      </c>
    </row>
    <row r="56" spans="1:5" x14ac:dyDescent="0.2">
      <c r="A56" s="49">
        <f t="shared" si="3"/>
        <v>1973</v>
      </c>
      <c r="B56" s="345">
        <v>30.9</v>
      </c>
      <c r="C56" s="341">
        <v>30</v>
      </c>
      <c r="D56" s="108">
        <v>34.299999999999997</v>
      </c>
      <c r="E56" s="112">
        <v>33.4</v>
      </c>
    </row>
    <row r="57" spans="1:5" x14ac:dyDescent="0.2">
      <c r="A57" s="49">
        <f t="shared" si="3"/>
        <v>1972</v>
      </c>
      <c r="B57" s="345">
        <v>28.8</v>
      </c>
      <c r="C57" s="341">
        <v>28</v>
      </c>
      <c r="D57" s="108">
        <v>32</v>
      </c>
      <c r="E57" s="112">
        <v>31.2</v>
      </c>
    </row>
    <row r="58" spans="1:5" x14ac:dyDescent="0.2">
      <c r="A58" s="49">
        <f t="shared" si="3"/>
        <v>1971</v>
      </c>
      <c r="B58" s="345">
        <v>27</v>
      </c>
      <c r="C58" s="341">
        <v>26.3</v>
      </c>
      <c r="D58" s="108">
        <v>30</v>
      </c>
      <c r="E58" s="112">
        <v>29.3</v>
      </c>
    </row>
    <row r="59" spans="1:5" x14ac:dyDescent="0.2">
      <c r="A59" s="49">
        <f>A58-1</f>
        <v>1970</v>
      </c>
      <c r="B59" s="345">
        <v>24.4</v>
      </c>
      <c r="C59" s="341">
        <v>23.9</v>
      </c>
      <c r="D59" s="108">
        <v>27.1</v>
      </c>
      <c r="E59" s="112">
        <v>26.6</v>
      </c>
    </row>
    <row r="60" spans="1:5" x14ac:dyDescent="0.2">
      <c r="A60" s="49">
        <f t="shared" ref="A60:A70" si="4">A59-1</f>
        <v>1969</v>
      </c>
      <c r="B60" s="345">
        <v>21</v>
      </c>
      <c r="C60" s="341">
        <v>20.399999999999999</v>
      </c>
      <c r="D60" s="108">
        <v>23.3</v>
      </c>
      <c r="E60" s="112">
        <v>22.7</v>
      </c>
    </row>
    <row r="61" spans="1:5" x14ac:dyDescent="0.2">
      <c r="A61" s="49">
        <f t="shared" si="4"/>
        <v>1968</v>
      </c>
      <c r="B61" s="345">
        <v>19.899999999999999</v>
      </c>
      <c r="C61" s="341">
        <v>19.2</v>
      </c>
      <c r="D61" s="108">
        <v>22.1</v>
      </c>
      <c r="E61" s="112">
        <v>21.4</v>
      </c>
    </row>
    <row r="62" spans="1:5" x14ac:dyDescent="0.2">
      <c r="A62" s="49">
        <f t="shared" si="4"/>
        <v>1967</v>
      </c>
      <c r="B62" s="345">
        <v>19</v>
      </c>
      <c r="C62" s="341">
        <v>18.5</v>
      </c>
      <c r="D62" s="108">
        <v>21.1</v>
      </c>
      <c r="E62" s="112">
        <v>20.6</v>
      </c>
    </row>
    <row r="63" spans="1:5" x14ac:dyDescent="0.2">
      <c r="A63" s="49">
        <f t="shared" si="4"/>
        <v>1966</v>
      </c>
      <c r="B63" s="345">
        <v>19.399999999999999</v>
      </c>
      <c r="C63" s="341">
        <v>19</v>
      </c>
      <c r="D63" s="108">
        <v>21.6</v>
      </c>
      <c r="E63" s="112">
        <v>21.1</v>
      </c>
    </row>
    <row r="64" spans="1:5" x14ac:dyDescent="0.2">
      <c r="A64" s="49">
        <f t="shared" si="4"/>
        <v>1965</v>
      </c>
      <c r="B64" s="345">
        <v>18.899999999999999</v>
      </c>
      <c r="C64" s="341">
        <v>18.399999999999999</v>
      </c>
      <c r="D64" s="108">
        <v>21</v>
      </c>
      <c r="E64" s="112">
        <v>20.5</v>
      </c>
    </row>
    <row r="65" spans="1:5" x14ac:dyDescent="0.2">
      <c r="A65" s="49">
        <f t="shared" si="4"/>
        <v>1964</v>
      </c>
      <c r="B65" s="345">
        <v>18.100000000000001</v>
      </c>
      <c r="C65" s="341">
        <v>17.7</v>
      </c>
      <c r="D65" s="108">
        <v>20</v>
      </c>
      <c r="E65" s="112">
        <v>19.7</v>
      </c>
    </row>
    <row r="66" spans="1:5" x14ac:dyDescent="0.2">
      <c r="A66" s="49">
        <f t="shared" si="4"/>
        <v>1963</v>
      </c>
      <c r="B66" s="345">
        <v>17.2</v>
      </c>
      <c r="C66" s="341">
        <v>17</v>
      </c>
      <c r="D66" s="108">
        <v>19.100000000000001</v>
      </c>
      <c r="E66" s="112">
        <v>18.899999999999999</v>
      </c>
    </row>
    <row r="67" spans="1:5" x14ac:dyDescent="0.2">
      <c r="A67" s="49">
        <f t="shared" si="4"/>
        <v>1962</v>
      </c>
      <c r="B67" s="345">
        <v>16.399999999999999</v>
      </c>
      <c r="C67" s="341">
        <v>16.2</v>
      </c>
      <c r="D67" s="108">
        <v>18.3</v>
      </c>
      <c r="E67" s="112">
        <v>18</v>
      </c>
    </row>
    <row r="68" spans="1:5" x14ac:dyDescent="0.2">
      <c r="A68" s="49">
        <f t="shared" si="4"/>
        <v>1961</v>
      </c>
      <c r="B68" s="345">
        <v>15.2</v>
      </c>
      <c r="C68" s="341">
        <v>15</v>
      </c>
      <c r="D68" s="108">
        <v>16.8</v>
      </c>
      <c r="E68" s="112">
        <v>16.7</v>
      </c>
    </row>
    <row r="69" spans="1:5" x14ac:dyDescent="0.2">
      <c r="A69" s="49">
        <f t="shared" si="4"/>
        <v>1960</v>
      </c>
      <c r="B69" s="345">
        <v>14</v>
      </c>
      <c r="C69" s="341">
        <v>14</v>
      </c>
      <c r="D69" s="108">
        <v>15.6</v>
      </c>
      <c r="E69" s="112">
        <v>15.6</v>
      </c>
    </row>
    <row r="70" spans="1:5" x14ac:dyDescent="0.2">
      <c r="A70" s="49">
        <f t="shared" si="4"/>
        <v>1959</v>
      </c>
      <c r="B70" s="345">
        <v>13.1</v>
      </c>
      <c r="C70" s="341">
        <v>13.1</v>
      </c>
      <c r="D70" s="108">
        <v>14.6</v>
      </c>
      <c r="E70" s="112">
        <v>14.6</v>
      </c>
    </row>
    <row r="71" spans="1:5" x14ac:dyDescent="0.2">
      <c r="A71" s="49">
        <f>A70-1</f>
        <v>1958</v>
      </c>
      <c r="B71" s="345">
        <v>12.5</v>
      </c>
      <c r="C71" s="341">
        <v>12.5</v>
      </c>
      <c r="D71" s="108">
        <v>13.9</v>
      </c>
      <c r="E71" s="112">
        <v>13.9</v>
      </c>
    </row>
    <row r="72" spans="1:5" s="10" customFormat="1" ht="13.5" thickBot="1" x14ac:dyDescent="0.25">
      <c r="A72" s="9"/>
      <c r="B72" s="9"/>
      <c r="C72" s="9"/>
      <c r="D72" s="109"/>
      <c r="E72" s="113"/>
    </row>
    <row r="73" spans="1:5" ht="13.5" thickBot="1" x14ac:dyDescent="0.25">
      <c r="A73" s="6" t="s">
        <v>68</v>
      </c>
      <c r="B73" s="336"/>
      <c r="C73" s="336"/>
      <c r="D73" s="110" t="e">
        <f>VLOOKUP(KPA!G10,'SW-Bau-Index'!A5:E71,4,FALSE)</f>
        <v>#N/A</v>
      </c>
      <c r="E73" s="114" t="e">
        <f>VLOOKUP(KPA!G10,'SW-Bau-Index'!A7:E71,5,FALSE)</f>
        <v>#N/A</v>
      </c>
    </row>
  </sheetData>
  <sheetProtection algorithmName="SHA-512" hashValue="6tBN5lkSCcOszoDR2R9okAjhjrivNNnHSh4qbMKKQZ3TQN9ArZdjo4kY6mtehH3ni7uKeqhWgqKTuo6WCaTDtA==" saltValue="dW5rkGAZX7oHOxzvz5J+XQ==" spinCount="100000" sheet="1" objects="1" scenarios="1"/>
  <customSheetViews>
    <customSheetView guid="{B8FE7C60-7D84-469C-BE86-7AE2888FE41C}" state="hidden">
      <pageMargins left="0.7" right="0.7" top="0.78740157499999996" bottom="0.78740157499999996" header="0.3" footer="0.3"/>
      <pageSetup paperSize="9" orientation="portrait" r:id="rId1"/>
    </customSheetView>
  </customSheetViews>
  <mergeCells count="4">
    <mergeCell ref="D4:E4"/>
    <mergeCell ref="B2:C2"/>
    <mergeCell ref="D2:E2"/>
    <mergeCell ref="B1:E1"/>
  </mergeCells>
  <pageMargins left="0.70866141732283472" right="0.70866141732283472" top="0.78740157480314965" bottom="0.78740157480314965"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theme="7" tint="0.39997558519241921"/>
  </sheetPr>
  <dimension ref="A1:S76"/>
  <sheetViews>
    <sheetView workbookViewId="0">
      <pane xSplit="12855" ySplit="1215" topLeftCell="B1" activePane="bottomRight"/>
      <selection activeCell="E70" sqref="E70"/>
      <selection pane="topRight" activeCell="B1" sqref="B1"/>
      <selection pane="bottomLeft" activeCell="A8" sqref="A8:A19"/>
      <selection pane="bottomRight" activeCell="B8" sqref="B8"/>
    </sheetView>
  </sheetViews>
  <sheetFormatPr baseColWidth="10" defaultColWidth="11.42578125" defaultRowHeight="12.75" x14ac:dyDescent="0.2"/>
  <cols>
    <col min="1" max="1" width="118.7109375" style="87" customWidth="1"/>
    <col min="2" max="5" width="11.42578125" style="87"/>
    <col min="6" max="6" width="11.42578125" style="356"/>
    <col min="7" max="16384" width="11.42578125" style="87"/>
  </cols>
  <sheetData>
    <row r="1" spans="1:17" s="349" customFormat="1" ht="48" customHeight="1" x14ac:dyDescent="0.35">
      <c r="A1" s="841" t="s">
        <v>244</v>
      </c>
      <c r="B1" s="841"/>
      <c r="C1" s="841"/>
      <c r="D1" s="841"/>
      <c r="E1" s="841"/>
      <c r="F1" s="348"/>
    </row>
    <row r="2" spans="1:17" ht="15.75" x14ac:dyDescent="0.2">
      <c r="A2" s="350"/>
      <c r="B2" s="350"/>
      <c r="C2" s="350"/>
      <c r="D2" s="350"/>
      <c r="E2" s="350"/>
      <c r="F2" s="87"/>
    </row>
    <row r="3" spans="1:17" ht="16.5" thickBot="1" x14ac:dyDescent="0.25">
      <c r="A3" s="350"/>
      <c r="B3" s="350"/>
      <c r="C3" s="350"/>
      <c r="D3" s="350"/>
      <c r="E3" s="350"/>
      <c r="F3" s="87"/>
    </row>
    <row r="4" spans="1:17" ht="16.5" thickBot="1" x14ac:dyDescent="0.25">
      <c r="A4" s="350"/>
      <c r="B4" s="350"/>
      <c r="C4" s="350"/>
      <c r="D4" s="350"/>
      <c r="E4" s="350"/>
      <c r="F4" s="87"/>
      <c r="G4" s="842" t="s">
        <v>259</v>
      </c>
      <c r="H4" s="843"/>
      <c r="I4" s="843"/>
      <c r="J4" s="843"/>
      <c r="K4" s="843"/>
      <c r="L4" s="843"/>
      <c r="M4" s="843"/>
      <c r="N4" s="843"/>
      <c r="O4" s="843"/>
      <c r="P4" s="844"/>
    </row>
    <row r="5" spans="1:17" ht="16.5" thickBot="1" x14ac:dyDescent="0.25">
      <c r="A5" s="350"/>
      <c r="B5" s="350"/>
      <c r="C5" s="350"/>
      <c r="D5" s="350"/>
      <c r="E5" s="350"/>
      <c r="F5" s="87"/>
      <c r="G5" s="369">
        <v>2009</v>
      </c>
      <c r="H5" s="370">
        <f>G5+1</f>
        <v>2010</v>
      </c>
      <c r="I5" s="370">
        <f t="shared" ref="I5:P5" si="0">H5+1</f>
        <v>2011</v>
      </c>
      <c r="J5" s="370">
        <f t="shared" si="0"/>
        <v>2012</v>
      </c>
      <c r="K5" s="370">
        <f t="shared" si="0"/>
        <v>2013</v>
      </c>
      <c r="L5" s="370">
        <f t="shared" si="0"/>
        <v>2014</v>
      </c>
      <c r="M5" s="370">
        <f t="shared" si="0"/>
        <v>2015</v>
      </c>
      <c r="N5" s="370">
        <f t="shared" si="0"/>
        <v>2016</v>
      </c>
      <c r="O5" s="370">
        <f t="shared" si="0"/>
        <v>2017</v>
      </c>
      <c r="P5" s="427">
        <f t="shared" si="0"/>
        <v>2018</v>
      </c>
      <c r="Q5" s="429" t="s">
        <v>273</v>
      </c>
    </row>
    <row r="6" spans="1:17" ht="32.25" thickBot="1" x14ac:dyDescent="0.25">
      <c r="A6" s="357"/>
      <c r="B6" s="358" t="s">
        <v>245</v>
      </c>
      <c r="C6" s="358" t="s">
        <v>246</v>
      </c>
      <c r="D6" s="358" t="s">
        <v>247</v>
      </c>
      <c r="E6" s="358" t="s">
        <v>248</v>
      </c>
      <c r="F6" s="359" t="s">
        <v>208</v>
      </c>
      <c r="G6" s="367">
        <v>6.2</v>
      </c>
      <c r="H6" s="366">
        <f>6.1</f>
        <v>6.1</v>
      </c>
      <c r="I6" s="366">
        <v>6</v>
      </c>
      <c r="J6" s="366">
        <f>5.9</f>
        <v>5.9</v>
      </c>
      <c r="K6" s="366">
        <f>5.1</f>
        <v>5.0999999999999996</v>
      </c>
      <c r="L6" s="366">
        <v>4.9000000000000004</v>
      </c>
      <c r="M6" s="366">
        <v>4.7</v>
      </c>
      <c r="N6" s="366">
        <v>4.3</v>
      </c>
      <c r="O6" s="366">
        <v>4.2</v>
      </c>
      <c r="P6" s="428">
        <v>3.6</v>
      </c>
      <c r="Q6" s="430" t="s">
        <v>271</v>
      </c>
    </row>
    <row r="7" spans="1:17" ht="16.5" thickBot="1" x14ac:dyDescent="0.25">
      <c r="A7" s="351">
        <v>1</v>
      </c>
      <c r="B7" s="352">
        <v>2</v>
      </c>
      <c r="C7" s="352">
        <v>3</v>
      </c>
      <c r="D7" s="352">
        <v>4</v>
      </c>
      <c r="E7" s="353">
        <v>5</v>
      </c>
      <c r="F7" s="354">
        <v>6</v>
      </c>
      <c r="G7" s="630">
        <f>F7+1</f>
        <v>7</v>
      </c>
      <c r="H7" s="630">
        <f t="shared" ref="H7:P7" si="1">G7+1</f>
        <v>8</v>
      </c>
      <c r="I7" s="630">
        <f t="shared" si="1"/>
        <v>9</v>
      </c>
      <c r="J7" s="630">
        <f t="shared" si="1"/>
        <v>10</v>
      </c>
      <c r="K7" s="630">
        <f t="shared" si="1"/>
        <v>11</v>
      </c>
      <c r="L7" s="630">
        <f t="shared" si="1"/>
        <v>12</v>
      </c>
      <c r="M7" s="630">
        <f t="shared" si="1"/>
        <v>13</v>
      </c>
      <c r="N7" s="630">
        <f t="shared" si="1"/>
        <v>14</v>
      </c>
      <c r="O7" s="630">
        <f t="shared" si="1"/>
        <v>15</v>
      </c>
      <c r="P7" s="630">
        <f t="shared" si="1"/>
        <v>16</v>
      </c>
      <c r="Q7" s="430" t="s">
        <v>272</v>
      </c>
    </row>
    <row r="8" spans="1:17" ht="15.75" x14ac:dyDescent="0.2">
      <c r="A8" s="688" t="s">
        <v>77</v>
      </c>
      <c r="B8" s="679">
        <v>18</v>
      </c>
      <c r="C8" s="680">
        <v>21</v>
      </c>
      <c r="D8" s="680">
        <v>25</v>
      </c>
      <c r="E8" s="681">
        <v>27</v>
      </c>
      <c r="F8" s="672">
        <v>80</v>
      </c>
      <c r="G8" s="635" t="e">
        <f>G9-2</f>
        <v>#NUM!</v>
      </c>
      <c r="H8" s="636" t="e">
        <f>ROUND(H$6/6.2*$G8,2)</f>
        <v>#NUM!</v>
      </c>
      <c r="I8" s="637" t="e">
        <f t="shared" ref="I8:P23" si="2">ROUND(I$6/6.2*$G8,2)</f>
        <v>#NUM!</v>
      </c>
      <c r="J8" s="637" t="e">
        <f t="shared" si="2"/>
        <v>#NUM!</v>
      </c>
      <c r="K8" s="637" t="e">
        <f t="shared" si="2"/>
        <v>#NUM!</v>
      </c>
      <c r="L8" s="637" t="e">
        <f t="shared" si="2"/>
        <v>#NUM!</v>
      </c>
      <c r="M8" s="637" t="e">
        <f t="shared" si="2"/>
        <v>#NUM!</v>
      </c>
      <c r="N8" s="637" t="e">
        <f t="shared" si="2"/>
        <v>#NUM!</v>
      </c>
      <c r="O8" s="637" t="e">
        <f t="shared" si="2"/>
        <v>#NUM!</v>
      </c>
      <c r="P8" s="638" t="e">
        <f t="shared" si="2"/>
        <v>#NUM!</v>
      </c>
      <c r="Q8" s="618" t="s">
        <v>316</v>
      </c>
    </row>
    <row r="9" spans="1:17" ht="15.75" x14ac:dyDescent="0.2">
      <c r="A9" s="689" t="s">
        <v>78</v>
      </c>
      <c r="B9" s="682">
        <v>21</v>
      </c>
      <c r="C9" s="355">
        <v>23</v>
      </c>
      <c r="D9" s="355">
        <v>27</v>
      </c>
      <c r="E9" s="683">
        <v>29</v>
      </c>
      <c r="F9" s="673">
        <v>80</v>
      </c>
      <c r="G9" s="639" t="e">
        <f>ROUND((7.9425)-0.8617*LOG(KPA!K17*VLOOKUP("Änderungsfaktor",H76:S76,I72,TRUE)),2)</f>
        <v>#NUM!</v>
      </c>
      <c r="H9" s="620" t="e">
        <f>ROUND(H$6/6.2*$G9,2)</f>
        <v>#NUM!</v>
      </c>
      <c r="I9" s="621" t="e">
        <f t="shared" si="2"/>
        <v>#NUM!</v>
      </c>
      <c r="J9" s="621" t="e">
        <f t="shared" si="2"/>
        <v>#NUM!</v>
      </c>
      <c r="K9" s="621" t="e">
        <f t="shared" si="2"/>
        <v>#NUM!</v>
      </c>
      <c r="L9" s="621" t="e">
        <f t="shared" si="2"/>
        <v>#NUM!</v>
      </c>
      <c r="M9" s="621" t="e">
        <f t="shared" si="2"/>
        <v>#NUM!</v>
      </c>
      <c r="N9" s="621" t="e">
        <f t="shared" si="2"/>
        <v>#NUM!</v>
      </c>
      <c r="O9" s="621" t="e">
        <f t="shared" si="2"/>
        <v>#NUM!</v>
      </c>
      <c r="P9" s="640" t="e">
        <f t="shared" si="2"/>
        <v>#NUM!</v>
      </c>
      <c r="Q9" s="618" t="s">
        <v>316</v>
      </c>
    </row>
    <row r="10" spans="1:17" ht="15.75" x14ac:dyDescent="0.2">
      <c r="A10" s="689" t="s">
        <v>172</v>
      </c>
      <c r="B10" s="682">
        <v>21</v>
      </c>
      <c r="C10" s="355">
        <v>23</v>
      </c>
      <c r="D10" s="355">
        <v>27</v>
      </c>
      <c r="E10" s="683">
        <v>29</v>
      </c>
      <c r="F10" s="673">
        <v>80</v>
      </c>
      <c r="G10" s="641" t="e">
        <f>G$9+0</f>
        <v>#NUM!</v>
      </c>
      <c r="H10" s="620" t="e">
        <f t="shared" ref="H10:P25" si="3">ROUND(H$6/6.2*$G10,2)</f>
        <v>#NUM!</v>
      </c>
      <c r="I10" s="621" t="e">
        <f t="shared" si="2"/>
        <v>#NUM!</v>
      </c>
      <c r="J10" s="621" t="e">
        <f t="shared" si="2"/>
        <v>#NUM!</v>
      </c>
      <c r="K10" s="621" t="e">
        <f t="shared" si="2"/>
        <v>#NUM!</v>
      </c>
      <c r="L10" s="621" t="e">
        <f t="shared" si="2"/>
        <v>#NUM!</v>
      </c>
      <c r="M10" s="621" t="e">
        <f t="shared" si="2"/>
        <v>#NUM!</v>
      </c>
      <c r="N10" s="621" t="e">
        <f t="shared" si="2"/>
        <v>#NUM!</v>
      </c>
      <c r="O10" s="621" t="e">
        <f>ROUND(O$6/6.2*$G10,2)</f>
        <v>#NUM!</v>
      </c>
      <c r="P10" s="640" t="e">
        <f>ROUND(P$6/6.2*$G10,2)</f>
        <v>#NUM!</v>
      </c>
      <c r="Q10" s="618" t="s">
        <v>316</v>
      </c>
    </row>
    <row r="11" spans="1:17" ht="15.75" x14ac:dyDescent="0.2">
      <c r="A11" s="689" t="s">
        <v>279</v>
      </c>
      <c r="B11" s="682">
        <v>21</v>
      </c>
      <c r="C11" s="355">
        <v>23</v>
      </c>
      <c r="D11" s="355">
        <v>27</v>
      </c>
      <c r="E11" s="683">
        <v>29</v>
      </c>
      <c r="F11" s="673">
        <v>80</v>
      </c>
      <c r="G11" s="624" t="e">
        <f>G$9-0.5</f>
        <v>#NUM!</v>
      </c>
      <c r="H11" s="623" t="e">
        <f t="shared" si="3"/>
        <v>#NUM!</v>
      </c>
      <c r="I11" s="622" t="e">
        <f t="shared" si="2"/>
        <v>#NUM!</v>
      </c>
      <c r="J11" s="622" t="e">
        <f t="shared" si="2"/>
        <v>#NUM!</v>
      </c>
      <c r="K11" s="622" t="e">
        <f t="shared" si="2"/>
        <v>#NUM!</v>
      </c>
      <c r="L11" s="622" t="e">
        <f t="shared" si="2"/>
        <v>#NUM!</v>
      </c>
      <c r="M11" s="622" t="e">
        <f t="shared" si="2"/>
        <v>#NUM!</v>
      </c>
      <c r="N11" s="622" t="e">
        <f t="shared" si="2"/>
        <v>#NUM!</v>
      </c>
      <c r="O11" s="622" t="e">
        <f t="shared" si="2"/>
        <v>#NUM!</v>
      </c>
      <c r="P11" s="625" t="e">
        <f t="shared" si="2"/>
        <v>#NUM!</v>
      </c>
      <c r="Q11" s="618" t="s">
        <v>316</v>
      </c>
    </row>
    <row r="12" spans="1:17" ht="15.75" x14ac:dyDescent="0.2">
      <c r="A12" s="689" t="s">
        <v>265</v>
      </c>
      <c r="B12" s="682">
        <v>21</v>
      </c>
      <c r="C12" s="355">
        <v>22</v>
      </c>
      <c r="D12" s="355">
        <v>24</v>
      </c>
      <c r="E12" s="683">
        <v>26</v>
      </c>
      <c r="F12" s="673">
        <v>80</v>
      </c>
      <c r="G12" s="641" t="e">
        <f>G$9+0.5</f>
        <v>#NUM!</v>
      </c>
      <c r="H12" s="620" t="e">
        <f t="shared" si="3"/>
        <v>#NUM!</v>
      </c>
      <c r="I12" s="621" t="e">
        <f t="shared" si="2"/>
        <v>#NUM!</v>
      </c>
      <c r="J12" s="621" t="e">
        <f t="shared" si="2"/>
        <v>#NUM!</v>
      </c>
      <c r="K12" s="621" t="e">
        <f t="shared" si="2"/>
        <v>#NUM!</v>
      </c>
      <c r="L12" s="621" t="e">
        <f t="shared" si="2"/>
        <v>#NUM!</v>
      </c>
      <c r="M12" s="621" t="e">
        <f t="shared" si="2"/>
        <v>#NUM!</v>
      </c>
      <c r="N12" s="621" t="e">
        <f t="shared" si="2"/>
        <v>#NUM!</v>
      </c>
      <c r="O12" s="621" t="e">
        <f t="shared" si="2"/>
        <v>#NUM!</v>
      </c>
      <c r="P12" s="640" t="e">
        <f t="shared" si="2"/>
        <v>#NUM!</v>
      </c>
      <c r="Q12" s="618" t="s">
        <v>316</v>
      </c>
    </row>
    <row r="13" spans="1:17" ht="15.75" x14ac:dyDescent="0.2">
      <c r="A13" s="689" t="s">
        <v>266</v>
      </c>
      <c r="B13" s="682">
        <v>21</v>
      </c>
      <c r="C13" s="355">
        <v>22</v>
      </c>
      <c r="D13" s="355">
        <v>24</v>
      </c>
      <c r="E13" s="683">
        <v>26</v>
      </c>
      <c r="F13" s="673">
        <v>80</v>
      </c>
      <c r="G13" s="641" t="e">
        <f>G$9+0.5</f>
        <v>#NUM!</v>
      </c>
      <c r="H13" s="620" t="e">
        <f t="shared" si="3"/>
        <v>#NUM!</v>
      </c>
      <c r="I13" s="621" t="e">
        <f t="shared" si="2"/>
        <v>#NUM!</v>
      </c>
      <c r="J13" s="621" t="e">
        <f t="shared" si="2"/>
        <v>#NUM!</v>
      </c>
      <c r="K13" s="621" t="e">
        <f t="shared" si="2"/>
        <v>#NUM!</v>
      </c>
      <c r="L13" s="621" t="e">
        <f t="shared" si="2"/>
        <v>#NUM!</v>
      </c>
      <c r="M13" s="621" t="e">
        <f t="shared" si="2"/>
        <v>#NUM!</v>
      </c>
      <c r="N13" s="621" t="e">
        <f t="shared" si="2"/>
        <v>#NUM!</v>
      </c>
      <c r="O13" s="621" t="e">
        <f t="shared" si="2"/>
        <v>#NUM!</v>
      </c>
      <c r="P13" s="640" t="e">
        <f t="shared" si="2"/>
        <v>#NUM!</v>
      </c>
      <c r="Q13" s="618" t="s">
        <v>316</v>
      </c>
    </row>
    <row r="14" spans="1:17" ht="15.75" x14ac:dyDescent="0.2">
      <c r="A14" s="689" t="s">
        <v>267</v>
      </c>
      <c r="B14" s="682">
        <v>21</v>
      </c>
      <c r="C14" s="355">
        <v>22</v>
      </c>
      <c r="D14" s="355">
        <v>24</v>
      </c>
      <c r="E14" s="683">
        <v>26</v>
      </c>
      <c r="F14" s="673">
        <v>80</v>
      </c>
      <c r="G14" s="641" t="e">
        <f>G$9+1</f>
        <v>#NUM!</v>
      </c>
      <c r="H14" s="620" t="e">
        <f t="shared" si="3"/>
        <v>#NUM!</v>
      </c>
      <c r="I14" s="621" t="e">
        <f t="shared" si="2"/>
        <v>#NUM!</v>
      </c>
      <c r="J14" s="621" t="e">
        <f t="shared" si="2"/>
        <v>#NUM!</v>
      </c>
      <c r="K14" s="621" t="e">
        <f t="shared" si="2"/>
        <v>#NUM!</v>
      </c>
      <c r="L14" s="621" t="e">
        <f t="shared" si="2"/>
        <v>#NUM!</v>
      </c>
      <c r="M14" s="621" t="e">
        <f t="shared" si="2"/>
        <v>#NUM!</v>
      </c>
      <c r="N14" s="621" t="e">
        <f t="shared" si="2"/>
        <v>#NUM!</v>
      </c>
      <c r="O14" s="621" t="e">
        <f t="shared" si="2"/>
        <v>#NUM!</v>
      </c>
      <c r="P14" s="640" t="e">
        <f t="shared" si="2"/>
        <v>#NUM!</v>
      </c>
      <c r="Q14" s="618" t="s">
        <v>316</v>
      </c>
    </row>
    <row r="15" spans="1:17" ht="15.75" x14ac:dyDescent="0.2">
      <c r="A15" s="689" t="s">
        <v>268</v>
      </c>
      <c r="B15" s="682">
        <v>21</v>
      </c>
      <c r="C15" s="355">
        <v>22</v>
      </c>
      <c r="D15" s="355">
        <v>24</v>
      </c>
      <c r="E15" s="683">
        <v>26</v>
      </c>
      <c r="F15" s="673">
        <v>80</v>
      </c>
      <c r="G15" s="641" t="e">
        <f>G$9+1</f>
        <v>#NUM!</v>
      </c>
      <c r="H15" s="620" t="e">
        <f t="shared" si="3"/>
        <v>#NUM!</v>
      </c>
      <c r="I15" s="621" t="e">
        <f t="shared" si="2"/>
        <v>#NUM!</v>
      </c>
      <c r="J15" s="621" t="e">
        <f t="shared" si="2"/>
        <v>#NUM!</v>
      </c>
      <c r="K15" s="621" t="e">
        <f t="shared" si="2"/>
        <v>#NUM!</v>
      </c>
      <c r="L15" s="621" t="e">
        <f t="shared" si="2"/>
        <v>#NUM!</v>
      </c>
      <c r="M15" s="621" t="e">
        <f t="shared" si="2"/>
        <v>#NUM!</v>
      </c>
      <c r="N15" s="621" t="e">
        <f t="shared" si="2"/>
        <v>#NUM!</v>
      </c>
      <c r="O15" s="621" t="e">
        <f t="shared" si="2"/>
        <v>#NUM!</v>
      </c>
      <c r="P15" s="640" t="e">
        <f t="shared" si="2"/>
        <v>#NUM!</v>
      </c>
      <c r="Q15" s="618" t="s">
        <v>316</v>
      </c>
    </row>
    <row r="16" spans="1:17" ht="15.75" x14ac:dyDescent="0.2">
      <c r="A16" s="689" t="s">
        <v>161</v>
      </c>
      <c r="B16" s="682">
        <v>18</v>
      </c>
      <c r="C16" s="355">
        <v>20</v>
      </c>
      <c r="D16" s="355">
        <v>22</v>
      </c>
      <c r="E16" s="683">
        <v>23</v>
      </c>
      <c r="F16" s="673">
        <v>70</v>
      </c>
      <c r="G16" s="641" t="e">
        <f>G$9+1.5</f>
        <v>#NUM!</v>
      </c>
      <c r="H16" s="620" t="e">
        <f t="shared" si="3"/>
        <v>#NUM!</v>
      </c>
      <c r="I16" s="621" t="e">
        <f t="shared" si="2"/>
        <v>#NUM!</v>
      </c>
      <c r="J16" s="621" t="e">
        <f t="shared" si="2"/>
        <v>#NUM!</v>
      </c>
      <c r="K16" s="621" t="e">
        <f t="shared" si="2"/>
        <v>#NUM!</v>
      </c>
      <c r="L16" s="621" t="e">
        <f t="shared" si="2"/>
        <v>#NUM!</v>
      </c>
      <c r="M16" s="621" t="e">
        <f t="shared" si="2"/>
        <v>#NUM!</v>
      </c>
      <c r="N16" s="621" t="e">
        <f t="shared" si="2"/>
        <v>#NUM!</v>
      </c>
      <c r="O16" s="621" t="e">
        <f t="shared" si="2"/>
        <v>#NUM!</v>
      </c>
      <c r="P16" s="640" t="e">
        <f t="shared" si="2"/>
        <v>#NUM!</v>
      </c>
      <c r="Q16" s="618" t="s">
        <v>316</v>
      </c>
    </row>
    <row r="17" spans="1:17" ht="15.75" x14ac:dyDescent="0.2">
      <c r="A17" s="689" t="s">
        <v>168</v>
      </c>
      <c r="B17" s="682">
        <v>18</v>
      </c>
      <c r="C17" s="355">
        <v>20</v>
      </c>
      <c r="D17" s="355">
        <v>22</v>
      </c>
      <c r="E17" s="683">
        <v>23</v>
      </c>
      <c r="F17" s="673">
        <v>70</v>
      </c>
      <c r="G17" s="641" t="e">
        <f t="shared" ref="G17:G19" si="4">G$9+1.5</f>
        <v>#NUM!</v>
      </c>
      <c r="H17" s="620" t="e">
        <f t="shared" si="3"/>
        <v>#NUM!</v>
      </c>
      <c r="I17" s="621" t="e">
        <f t="shared" si="2"/>
        <v>#NUM!</v>
      </c>
      <c r="J17" s="621" t="e">
        <f t="shared" si="2"/>
        <v>#NUM!</v>
      </c>
      <c r="K17" s="621" t="e">
        <f t="shared" si="2"/>
        <v>#NUM!</v>
      </c>
      <c r="L17" s="621" t="e">
        <f t="shared" si="2"/>
        <v>#NUM!</v>
      </c>
      <c r="M17" s="621" t="e">
        <f t="shared" si="2"/>
        <v>#NUM!</v>
      </c>
      <c r="N17" s="621" t="e">
        <f t="shared" si="2"/>
        <v>#NUM!</v>
      </c>
      <c r="O17" s="621" t="e">
        <f t="shared" si="2"/>
        <v>#NUM!</v>
      </c>
      <c r="P17" s="640" t="e">
        <f t="shared" si="2"/>
        <v>#NUM!</v>
      </c>
      <c r="Q17" s="618" t="s">
        <v>316</v>
      </c>
    </row>
    <row r="18" spans="1:17" ht="15.75" x14ac:dyDescent="0.2">
      <c r="A18" s="689" t="s">
        <v>76</v>
      </c>
      <c r="B18" s="682">
        <v>18</v>
      </c>
      <c r="C18" s="355">
        <v>20</v>
      </c>
      <c r="D18" s="355">
        <v>22</v>
      </c>
      <c r="E18" s="683">
        <v>23</v>
      </c>
      <c r="F18" s="673">
        <v>70</v>
      </c>
      <c r="G18" s="641" t="e">
        <f t="shared" si="4"/>
        <v>#NUM!</v>
      </c>
      <c r="H18" s="620" t="e">
        <f t="shared" si="3"/>
        <v>#NUM!</v>
      </c>
      <c r="I18" s="621" t="e">
        <f t="shared" si="2"/>
        <v>#NUM!</v>
      </c>
      <c r="J18" s="621" t="e">
        <f t="shared" si="2"/>
        <v>#NUM!</v>
      </c>
      <c r="K18" s="621" t="e">
        <f t="shared" si="2"/>
        <v>#NUM!</v>
      </c>
      <c r="L18" s="621" t="e">
        <f t="shared" si="2"/>
        <v>#NUM!</v>
      </c>
      <c r="M18" s="621" t="e">
        <f t="shared" si="2"/>
        <v>#NUM!</v>
      </c>
      <c r="N18" s="621" t="e">
        <f t="shared" si="2"/>
        <v>#NUM!</v>
      </c>
      <c r="O18" s="621" t="e">
        <f t="shared" si="2"/>
        <v>#NUM!</v>
      </c>
      <c r="P18" s="640" t="e">
        <f t="shared" si="2"/>
        <v>#NUM!</v>
      </c>
      <c r="Q18" s="618" t="s">
        <v>316</v>
      </c>
    </row>
    <row r="19" spans="1:17" ht="16.5" thickBot="1" x14ac:dyDescent="0.25">
      <c r="A19" s="690" t="s">
        <v>169</v>
      </c>
      <c r="B19" s="684">
        <v>18</v>
      </c>
      <c r="C19" s="685">
        <v>20</v>
      </c>
      <c r="D19" s="685">
        <v>22</v>
      </c>
      <c r="E19" s="686">
        <v>23</v>
      </c>
      <c r="F19" s="674">
        <v>70</v>
      </c>
      <c r="G19" s="642" t="e">
        <f t="shared" si="4"/>
        <v>#NUM!</v>
      </c>
      <c r="H19" s="643" t="e">
        <f t="shared" si="3"/>
        <v>#NUM!</v>
      </c>
      <c r="I19" s="644" t="e">
        <f t="shared" si="2"/>
        <v>#NUM!</v>
      </c>
      <c r="J19" s="644" t="e">
        <f t="shared" si="2"/>
        <v>#NUM!</v>
      </c>
      <c r="K19" s="644" t="e">
        <f t="shared" si="2"/>
        <v>#NUM!</v>
      </c>
      <c r="L19" s="644" t="e">
        <f t="shared" si="2"/>
        <v>#NUM!</v>
      </c>
      <c r="M19" s="644" t="e">
        <f t="shared" si="2"/>
        <v>#NUM!</v>
      </c>
      <c r="N19" s="644" t="e">
        <f t="shared" si="2"/>
        <v>#NUM!</v>
      </c>
      <c r="O19" s="644" t="e">
        <f t="shared" si="2"/>
        <v>#NUM!</v>
      </c>
      <c r="P19" s="645" t="e">
        <f t="shared" si="2"/>
        <v>#NUM!</v>
      </c>
      <c r="Q19" s="618" t="s">
        <v>316</v>
      </c>
    </row>
    <row r="20" spans="1:17" ht="15.75" x14ac:dyDescent="0.2">
      <c r="A20" s="676" t="s">
        <v>280</v>
      </c>
      <c r="B20" s="679">
        <v>18</v>
      </c>
      <c r="C20" s="680">
        <v>21</v>
      </c>
      <c r="D20" s="680">
        <v>25</v>
      </c>
      <c r="E20" s="681">
        <v>27</v>
      </c>
      <c r="F20" s="675">
        <v>80</v>
      </c>
      <c r="G20" s="635" t="e">
        <f>G$9-2</f>
        <v>#NUM!</v>
      </c>
      <c r="H20" s="636" t="e">
        <f t="shared" si="3"/>
        <v>#NUM!</v>
      </c>
      <c r="I20" s="637" t="e">
        <f t="shared" si="2"/>
        <v>#NUM!</v>
      </c>
      <c r="J20" s="637" t="e">
        <f t="shared" si="2"/>
        <v>#NUM!</v>
      </c>
      <c r="K20" s="637" t="e">
        <f t="shared" si="2"/>
        <v>#NUM!</v>
      </c>
      <c r="L20" s="637" t="e">
        <f t="shared" si="2"/>
        <v>#NUM!</v>
      </c>
      <c r="M20" s="637" t="e">
        <f t="shared" si="2"/>
        <v>#NUM!</v>
      </c>
      <c r="N20" s="637" t="e">
        <f t="shared" si="2"/>
        <v>#NUM!</v>
      </c>
      <c r="O20" s="637" t="e">
        <f t="shared" si="2"/>
        <v>#NUM!</v>
      </c>
      <c r="P20" s="638" t="e">
        <f t="shared" si="2"/>
        <v>#NUM!</v>
      </c>
      <c r="Q20" s="618" t="s">
        <v>316</v>
      </c>
    </row>
    <row r="21" spans="1:17" ht="15.75" x14ac:dyDescent="0.2">
      <c r="A21" s="677" t="s">
        <v>281</v>
      </c>
      <c r="B21" s="682">
        <v>18</v>
      </c>
      <c r="C21" s="355">
        <v>21</v>
      </c>
      <c r="D21" s="355">
        <v>25</v>
      </c>
      <c r="E21" s="683">
        <v>27</v>
      </c>
      <c r="F21" s="368">
        <v>80</v>
      </c>
      <c r="G21" s="624" t="e">
        <f t="shared" ref="G21:G67" si="5">G$9-2</f>
        <v>#NUM!</v>
      </c>
      <c r="H21" s="623" t="e">
        <f t="shared" si="3"/>
        <v>#NUM!</v>
      </c>
      <c r="I21" s="622" t="e">
        <f t="shared" si="2"/>
        <v>#NUM!</v>
      </c>
      <c r="J21" s="622" t="e">
        <f t="shared" si="2"/>
        <v>#NUM!</v>
      </c>
      <c r="K21" s="622" t="e">
        <f t="shared" si="2"/>
        <v>#NUM!</v>
      </c>
      <c r="L21" s="622" t="e">
        <f t="shared" si="2"/>
        <v>#NUM!</v>
      </c>
      <c r="M21" s="622" t="e">
        <f t="shared" si="2"/>
        <v>#NUM!</v>
      </c>
      <c r="N21" s="622" t="e">
        <f t="shared" si="2"/>
        <v>#NUM!</v>
      </c>
      <c r="O21" s="622" t="e">
        <f t="shared" si="2"/>
        <v>#NUM!</v>
      </c>
      <c r="P21" s="625" t="e">
        <f t="shared" si="2"/>
        <v>#NUM!</v>
      </c>
      <c r="Q21" s="618" t="s">
        <v>316</v>
      </c>
    </row>
    <row r="22" spans="1:17" ht="15.75" x14ac:dyDescent="0.2">
      <c r="A22" s="677" t="s">
        <v>282</v>
      </c>
      <c r="B22" s="682">
        <v>18</v>
      </c>
      <c r="C22" s="355">
        <v>21</v>
      </c>
      <c r="D22" s="355">
        <v>25</v>
      </c>
      <c r="E22" s="683">
        <v>27</v>
      </c>
      <c r="F22" s="368">
        <v>80</v>
      </c>
      <c r="G22" s="624" t="e">
        <f t="shared" si="5"/>
        <v>#NUM!</v>
      </c>
      <c r="H22" s="623" t="e">
        <f t="shared" si="3"/>
        <v>#NUM!</v>
      </c>
      <c r="I22" s="622" t="e">
        <f t="shared" si="2"/>
        <v>#NUM!</v>
      </c>
      <c r="J22" s="622" t="e">
        <f t="shared" si="2"/>
        <v>#NUM!</v>
      </c>
      <c r="K22" s="622" t="e">
        <f t="shared" si="2"/>
        <v>#NUM!</v>
      </c>
      <c r="L22" s="622" t="e">
        <f t="shared" si="2"/>
        <v>#NUM!</v>
      </c>
      <c r="M22" s="622" t="e">
        <f t="shared" si="2"/>
        <v>#NUM!</v>
      </c>
      <c r="N22" s="622" t="e">
        <f t="shared" si="2"/>
        <v>#NUM!</v>
      </c>
      <c r="O22" s="622" t="e">
        <f t="shared" si="2"/>
        <v>#NUM!</v>
      </c>
      <c r="P22" s="625" t="e">
        <f t="shared" si="2"/>
        <v>#NUM!</v>
      </c>
      <c r="Q22" s="618" t="s">
        <v>316</v>
      </c>
    </row>
    <row r="23" spans="1:17" ht="15.75" x14ac:dyDescent="0.2">
      <c r="A23" s="677" t="s">
        <v>283</v>
      </c>
      <c r="B23" s="682">
        <v>18</v>
      </c>
      <c r="C23" s="355">
        <v>21</v>
      </c>
      <c r="D23" s="355">
        <v>25</v>
      </c>
      <c r="E23" s="683">
        <v>27</v>
      </c>
      <c r="F23" s="368">
        <v>80</v>
      </c>
      <c r="G23" s="624" t="e">
        <f t="shared" si="5"/>
        <v>#NUM!</v>
      </c>
      <c r="H23" s="623" t="e">
        <f t="shared" si="3"/>
        <v>#NUM!</v>
      </c>
      <c r="I23" s="622" t="e">
        <f t="shared" si="2"/>
        <v>#NUM!</v>
      </c>
      <c r="J23" s="622" t="e">
        <f t="shared" si="2"/>
        <v>#NUM!</v>
      </c>
      <c r="K23" s="622" t="e">
        <f t="shared" si="2"/>
        <v>#NUM!</v>
      </c>
      <c r="L23" s="622" t="e">
        <f t="shared" si="2"/>
        <v>#NUM!</v>
      </c>
      <c r="M23" s="622" t="e">
        <f t="shared" si="2"/>
        <v>#NUM!</v>
      </c>
      <c r="N23" s="622" t="e">
        <f t="shared" si="2"/>
        <v>#NUM!</v>
      </c>
      <c r="O23" s="622" t="e">
        <f t="shared" si="2"/>
        <v>#NUM!</v>
      </c>
      <c r="P23" s="625" t="e">
        <f t="shared" si="2"/>
        <v>#NUM!</v>
      </c>
      <c r="Q23" s="618" t="s">
        <v>316</v>
      </c>
    </row>
    <row r="24" spans="1:17" ht="15.75" x14ac:dyDescent="0.2">
      <c r="A24" s="677" t="s">
        <v>284</v>
      </c>
      <c r="B24" s="682">
        <v>18</v>
      </c>
      <c r="C24" s="355">
        <v>21</v>
      </c>
      <c r="D24" s="355">
        <v>25</v>
      </c>
      <c r="E24" s="683">
        <v>27</v>
      </c>
      <c r="F24" s="368">
        <v>80</v>
      </c>
      <c r="G24" s="624" t="e">
        <f t="shared" si="5"/>
        <v>#NUM!</v>
      </c>
      <c r="H24" s="623" t="e">
        <f t="shared" si="3"/>
        <v>#NUM!</v>
      </c>
      <c r="I24" s="622" t="e">
        <f t="shared" si="3"/>
        <v>#NUM!</v>
      </c>
      <c r="J24" s="622" t="e">
        <f t="shared" si="3"/>
        <v>#NUM!</v>
      </c>
      <c r="K24" s="622" t="e">
        <f t="shared" si="3"/>
        <v>#NUM!</v>
      </c>
      <c r="L24" s="622" t="e">
        <f t="shared" si="3"/>
        <v>#NUM!</v>
      </c>
      <c r="M24" s="622" t="e">
        <f t="shared" si="3"/>
        <v>#NUM!</v>
      </c>
      <c r="N24" s="622" t="e">
        <f t="shared" si="3"/>
        <v>#NUM!</v>
      </c>
      <c r="O24" s="622" t="e">
        <f t="shared" si="3"/>
        <v>#NUM!</v>
      </c>
      <c r="P24" s="625" t="e">
        <f t="shared" si="3"/>
        <v>#NUM!</v>
      </c>
      <c r="Q24" s="618" t="s">
        <v>316</v>
      </c>
    </row>
    <row r="25" spans="1:17" ht="15.75" x14ac:dyDescent="0.2">
      <c r="A25" s="677" t="s">
        <v>285</v>
      </c>
      <c r="B25" s="682">
        <v>18</v>
      </c>
      <c r="C25" s="355">
        <v>21</v>
      </c>
      <c r="D25" s="355">
        <v>25</v>
      </c>
      <c r="E25" s="683">
        <v>27</v>
      </c>
      <c r="F25" s="368">
        <v>80</v>
      </c>
      <c r="G25" s="624" t="e">
        <f t="shared" si="5"/>
        <v>#NUM!</v>
      </c>
      <c r="H25" s="623" t="e">
        <f t="shared" si="3"/>
        <v>#NUM!</v>
      </c>
      <c r="I25" s="622" t="e">
        <f t="shared" si="3"/>
        <v>#NUM!</v>
      </c>
      <c r="J25" s="622" t="e">
        <f t="shared" si="3"/>
        <v>#NUM!</v>
      </c>
      <c r="K25" s="622" t="e">
        <f t="shared" si="3"/>
        <v>#NUM!</v>
      </c>
      <c r="L25" s="622" t="e">
        <f t="shared" si="3"/>
        <v>#NUM!</v>
      </c>
      <c r="M25" s="622" t="e">
        <f t="shared" si="3"/>
        <v>#NUM!</v>
      </c>
      <c r="N25" s="622" t="e">
        <f t="shared" si="3"/>
        <v>#NUM!</v>
      </c>
      <c r="O25" s="622" t="e">
        <f t="shared" si="3"/>
        <v>#NUM!</v>
      </c>
      <c r="P25" s="625" t="e">
        <f t="shared" si="3"/>
        <v>#NUM!</v>
      </c>
      <c r="Q25" s="618" t="s">
        <v>316</v>
      </c>
    </row>
    <row r="26" spans="1:17" ht="15.75" x14ac:dyDescent="0.2">
      <c r="A26" s="677" t="s">
        <v>286</v>
      </c>
      <c r="B26" s="682">
        <v>18</v>
      </c>
      <c r="C26" s="355">
        <v>21</v>
      </c>
      <c r="D26" s="355">
        <v>25</v>
      </c>
      <c r="E26" s="683">
        <v>27</v>
      </c>
      <c r="F26" s="368">
        <v>80</v>
      </c>
      <c r="G26" s="624" t="e">
        <f t="shared" si="5"/>
        <v>#NUM!</v>
      </c>
      <c r="H26" s="623" t="e">
        <f t="shared" ref="H26:P54" si="6">ROUND(H$6/6.2*$G26,2)</f>
        <v>#NUM!</v>
      </c>
      <c r="I26" s="622" t="e">
        <f t="shared" si="6"/>
        <v>#NUM!</v>
      </c>
      <c r="J26" s="622" t="e">
        <f t="shared" si="6"/>
        <v>#NUM!</v>
      </c>
      <c r="K26" s="622" t="e">
        <f t="shared" si="6"/>
        <v>#NUM!</v>
      </c>
      <c r="L26" s="622" t="e">
        <f t="shared" si="6"/>
        <v>#NUM!</v>
      </c>
      <c r="M26" s="622" t="e">
        <f t="shared" si="6"/>
        <v>#NUM!</v>
      </c>
      <c r="N26" s="622" t="e">
        <f t="shared" si="6"/>
        <v>#NUM!</v>
      </c>
      <c r="O26" s="622" t="e">
        <f t="shared" si="6"/>
        <v>#NUM!</v>
      </c>
      <c r="P26" s="625" t="e">
        <f t="shared" si="6"/>
        <v>#NUM!</v>
      </c>
      <c r="Q26" s="618" t="s">
        <v>316</v>
      </c>
    </row>
    <row r="27" spans="1:17" ht="15.75" x14ac:dyDescent="0.2">
      <c r="A27" s="677" t="s">
        <v>287</v>
      </c>
      <c r="B27" s="682">
        <v>18</v>
      </c>
      <c r="C27" s="355">
        <v>21</v>
      </c>
      <c r="D27" s="355">
        <v>25</v>
      </c>
      <c r="E27" s="683">
        <v>27</v>
      </c>
      <c r="F27" s="368">
        <v>80</v>
      </c>
      <c r="G27" s="624" t="e">
        <f t="shared" si="5"/>
        <v>#NUM!</v>
      </c>
      <c r="H27" s="623" t="e">
        <f t="shared" si="6"/>
        <v>#NUM!</v>
      </c>
      <c r="I27" s="622" t="e">
        <f t="shared" si="6"/>
        <v>#NUM!</v>
      </c>
      <c r="J27" s="622" t="e">
        <f t="shared" si="6"/>
        <v>#NUM!</v>
      </c>
      <c r="K27" s="622" t="e">
        <f t="shared" si="6"/>
        <v>#NUM!</v>
      </c>
      <c r="L27" s="622" t="e">
        <f t="shared" si="6"/>
        <v>#NUM!</v>
      </c>
      <c r="M27" s="622" t="e">
        <f t="shared" si="6"/>
        <v>#NUM!</v>
      </c>
      <c r="N27" s="622" t="e">
        <f t="shared" si="6"/>
        <v>#NUM!</v>
      </c>
      <c r="O27" s="622" t="e">
        <f t="shared" si="6"/>
        <v>#NUM!</v>
      </c>
      <c r="P27" s="625" t="e">
        <f t="shared" si="6"/>
        <v>#NUM!</v>
      </c>
      <c r="Q27" s="618" t="s">
        <v>316</v>
      </c>
    </row>
    <row r="28" spans="1:17" ht="15.75" x14ac:dyDescent="0.2">
      <c r="A28" s="677" t="s">
        <v>288</v>
      </c>
      <c r="B28" s="682">
        <v>18</v>
      </c>
      <c r="C28" s="355">
        <v>21</v>
      </c>
      <c r="D28" s="355">
        <v>25</v>
      </c>
      <c r="E28" s="683">
        <v>27</v>
      </c>
      <c r="F28" s="368">
        <v>80</v>
      </c>
      <c r="G28" s="624" t="e">
        <f t="shared" si="5"/>
        <v>#NUM!</v>
      </c>
      <c r="H28" s="623" t="e">
        <f t="shared" si="6"/>
        <v>#NUM!</v>
      </c>
      <c r="I28" s="622" t="e">
        <f t="shared" si="6"/>
        <v>#NUM!</v>
      </c>
      <c r="J28" s="622" t="e">
        <f t="shared" si="6"/>
        <v>#NUM!</v>
      </c>
      <c r="K28" s="622" t="e">
        <f t="shared" si="6"/>
        <v>#NUM!</v>
      </c>
      <c r="L28" s="622" t="e">
        <f t="shared" si="6"/>
        <v>#NUM!</v>
      </c>
      <c r="M28" s="622" t="e">
        <f t="shared" si="6"/>
        <v>#NUM!</v>
      </c>
      <c r="N28" s="622" t="e">
        <f t="shared" si="6"/>
        <v>#NUM!</v>
      </c>
      <c r="O28" s="622" t="e">
        <f t="shared" si="6"/>
        <v>#NUM!</v>
      </c>
      <c r="P28" s="625" t="e">
        <f t="shared" si="6"/>
        <v>#NUM!</v>
      </c>
      <c r="Q28" s="618" t="s">
        <v>316</v>
      </c>
    </row>
    <row r="29" spans="1:17" ht="15.75" x14ac:dyDescent="0.2">
      <c r="A29" s="677" t="s">
        <v>289</v>
      </c>
      <c r="B29" s="682">
        <v>18</v>
      </c>
      <c r="C29" s="355">
        <v>21</v>
      </c>
      <c r="D29" s="355">
        <v>25</v>
      </c>
      <c r="E29" s="683">
        <v>27</v>
      </c>
      <c r="F29" s="368">
        <v>80</v>
      </c>
      <c r="G29" s="624" t="e">
        <f t="shared" si="5"/>
        <v>#NUM!</v>
      </c>
      <c r="H29" s="623" t="e">
        <f t="shared" si="6"/>
        <v>#NUM!</v>
      </c>
      <c r="I29" s="622" t="e">
        <f t="shared" si="6"/>
        <v>#NUM!</v>
      </c>
      <c r="J29" s="622" t="e">
        <f t="shared" si="6"/>
        <v>#NUM!</v>
      </c>
      <c r="K29" s="622" t="e">
        <f t="shared" si="6"/>
        <v>#NUM!</v>
      </c>
      <c r="L29" s="622" t="e">
        <f t="shared" si="6"/>
        <v>#NUM!</v>
      </c>
      <c r="M29" s="622" t="e">
        <f t="shared" si="6"/>
        <v>#NUM!</v>
      </c>
      <c r="N29" s="622" t="e">
        <f t="shared" si="6"/>
        <v>#NUM!</v>
      </c>
      <c r="O29" s="622" t="e">
        <f t="shared" si="6"/>
        <v>#NUM!</v>
      </c>
      <c r="P29" s="625" t="e">
        <f t="shared" si="6"/>
        <v>#NUM!</v>
      </c>
      <c r="Q29" s="618" t="s">
        <v>316</v>
      </c>
    </row>
    <row r="30" spans="1:17" ht="15.75" x14ac:dyDescent="0.2">
      <c r="A30" s="677" t="s">
        <v>290</v>
      </c>
      <c r="B30" s="682">
        <v>18</v>
      </c>
      <c r="C30" s="355">
        <v>21</v>
      </c>
      <c r="D30" s="355">
        <v>25</v>
      </c>
      <c r="E30" s="683">
        <v>27</v>
      </c>
      <c r="F30" s="368">
        <v>80</v>
      </c>
      <c r="G30" s="624" t="e">
        <f t="shared" si="5"/>
        <v>#NUM!</v>
      </c>
      <c r="H30" s="623" t="e">
        <f t="shared" si="6"/>
        <v>#NUM!</v>
      </c>
      <c r="I30" s="622" t="e">
        <f t="shared" si="6"/>
        <v>#NUM!</v>
      </c>
      <c r="J30" s="622" t="e">
        <f t="shared" si="6"/>
        <v>#NUM!</v>
      </c>
      <c r="K30" s="622" t="e">
        <f t="shared" si="6"/>
        <v>#NUM!</v>
      </c>
      <c r="L30" s="622" t="e">
        <f t="shared" si="6"/>
        <v>#NUM!</v>
      </c>
      <c r="M30" s="622" t="e">
        <f t="shared" si="6"/>
        <v>#NUM!</v>
      </c>
      <c r="N30" s="622" t="e">
        <f t="shared" si="6"/>
        <v>#NUM!</v>
      </c>
      <c r="O30" s="622" t="e">
        <f t="shared" si="6"/>
        <v>#NUM!</v>
      </c>
      <c r="P30" s="625" t="e">
        <f t="shared" si="6"/>
        <v>#NUM!</v>
      </c>
      <c r="Q30" s="618" t="s">
        <v>316</v>
      </c>
    </row>
    <row r="31" spans="1:17" ht="16.5" thickBot="1" x14ac:dyDescent="0.25">
      <c r="A31" s="678" t="s">
        <v>291</v>
      </c>
      <c r="B31" s="684">
        <v>18</v>
      </c>
      <c r="C31" s="685">
        <v>21</v>
      </c>
      <c r="D31" s="685">
        <v>25</v>
      </c>
      <c r="E31" s="686">
        <v>27</v>
      </c>
      <c r="F31" s="619">
        <v>80</v>
      </c>
      <c r="G31" s="626" t="e">
        <f t="shared" si="5"/>
        <v>#NUM!</v>
      </c>
      <c r="H31" s="627" t="e">
        <f t="shared" si="6"/>
        <v>#NUM!</v>
      </c>
      <c r="I31" s="628" t="e">
        <f t="shared" si="6"/>
        <v>#NUM!</v>
      </c>
      <c r="J31" s="628" t="e">
        <f t="shared" si="6"/>
        <v>#NUM!</v>
      </c>
      <c r="K31" s="628" t="e">
        <f t="shared" si="6"/>
        <v>#NUM!</v>
      </c>
      <c r="L31" s="628" t="e">
        <f t="shared" si="6"/>
        <v>#NUM!</v>
      </c>
      <c r="M31" s="628" t="e">
        <f t="shared" si="6"/>
        <v>#NUM!</v>
      </c>
      <c r="N31" s="628" t="e">
        <f t="shared" si="6"/>
        <v>#NUM!</v>
      </c>
      <c r="O31" s="628" t="e">
        <f t="shared" si="6"/>
        <v>#NUM!</v>
      </c>
      <c r="P31" s="629" t="e">
        <f t="shared" si="6"/>
        <v>#NUM!</v>
      </c>
      <c r="Q31" s="618" t="s">
        <v>316</v>
      </c>
    </row>
    <row r="32" spans="1:17" ht="15.75" x14ac:dyDescent="0.2">
      <c r="A32" s="676" t="s">
        <v>334</v>
      </c>
      <c r="B32" s="679">
        <v>18</v>
      </c>
      <c r="C32" s="680">
        <v>21</v>
      </c>
      <c r="D32" s="680">
        <v>25</v>
      </c>
      <c r="E32" s="681">
        <v>27</v>
      </c>
      <c r="F32" s="671">
        <v>80</v>
      </c>
      <c r="G32" s="631" t="e">
        <f t="shared" si="5"/>
        <v>#NUM!</v>
      </c>
      <c r="H32" s="632" t="e">
        <f t="shared" si="6"/>
        <v>#NUM!</v>
      </c>
      <c r="I32" s="633" t="e">
        <f t="shared" si="6"/>
        <v>#NUM!</v>
      </c>
      <c r="J32" s="633" t="e">
        <f t="shared" si="6"/>
        <v>#NUM!</v>
      </c>
      <c r="K32" s="633" t="e">
        <f t="shared" si="6"/>
        <v>#NUM!</v>
      </c>
      <c r="L32" s="633" t="e">
        <f t="shared" si="6"/>
        <v>#NUM!</v>
      </c>
      <c r="M32" s="633" t="e">
        <f t="shared" si="6"/>
        <v>#NUM!</v>
      </c>
      <c r="N32" s="633" t="e">
        <f t="shared" si="6"/>
        <v>#NUM!</v>
      </c>
      <c r="O32" s="633" t="e">
        <f t="shared" si="6"/>
        <v>#NUM!</v>
      </c>
      <c r="P32" s="634" t="e">
        <f t="shared" si="6"/>
        <v>#NUM!</v>
      </c>
      <c r="Q32" s="618" t="s">
        <v>316</v>
      </c>
    </row>
    <row r="33" spans="1:17" ht="15.75" x14ac:dyDescent="0.2">
      <c r="A33" s="677" t="s">
        <v>335</v>
      </c>
      <c r="B33" s="682">
        <v>18</v>
      </c>
      <c r="C33" s="355">
        <v>21</v>
      </c>
      <c r="D33" s="355">
        <v>25</v>
      </c>
      <c r="E33" s="683">
        <v>27</v>
      </c>
      <c r="F33" s="368">
        <v>80</v>
      </c>
      <c r="G33" s="624" t="e">
        <f t="shared" si="5"/>
        <v>#NUM!</v>
      </c>
      <c r="H33" s="623" t="e">
        <f t="shared" si="6"/>
        <v>#NUM!</v>
      </c>
      <c r="I33" s="622" t="e">
        <f t="shared" si="6"/>
        <v>#NUM!</v>
      </c>
      <c r="J33" s="622" t="e">
        <f t="shared" si="6"/>
        <v>#NUM!</v>
      </c>
      <c r="K33" s="622" t="e">
        <f t="shared" si="6"/>
        <v>#NUM!</v>
      </c>
      <c r="L33" s="622" t="e">
        <f t="shared" si="6"/>
        <v>#NUM!</v>
      </c>
      <c r="M33" s="622" t="e">
        <f t="shared" si="6"/>
        <v>#NUM!</v>
      </c>
      <c r="N33" s="622" t="e">
        <f t="shared" si="6"/>
        <v>#NUM!</v>
      </c>
      <c r="O33" s="622" t="e">
        <f t="shared" si="6"/>
        <v>#NUM!</v>
      </c>
      <c r="P33" s="625" t="e">
        <f t="shared" si="6"/>
        <v>#NUM!</v>
      </c>
      <c r="Q33" s="618" t="s">
        <v>316</v>
      </c>
    </row>
    <row r="34" spans="1:17" ht="15.75" x14ac:dyDescent="0.2">
      <c r="A34" s="677" t="s">
        <v>336</v>
      </c>
      <c r="B34" s="682">
        <v>18</v>
      </c>
      <c r="C34" s="355">
        <v>21</v>
      </c>
      <c r="D34" s="355">
        <v>25</v>
      </c>
      <c r="E34" s="683">
        <v>27</v>
      </c>
      <c r="F34" s="368">
        <v>80</v>
      </c>
      <c r="G34" s="624" t="e">
        <f t="shared" si="5"/>
        <v>#NUM!</v>
      </c>
      <c r="H34" s="623" t="e">
        <f t="shared" si="6"/>
        <v>#NUM!</v>
      </c>
      <c r="I34" s="622" t="e">
        <f t="shared" si="6"/>
        <v>#NUM!</v>
      </c>
      <c r="J34" s="622" t="e">
        <f t="shared" si="6"/>
        <v>#NUM!</v>
      </c>
      <c r="K34" s="622" t="e">
        <f t="shared" si="6"/>
        <v>#NUM!</v>
      </c>
      <c r="L34" s="622" t="e">
        <f t="shared" si="6"/>
        <v>#NUM!</v>
      </c>
      <c r="M34" s="622" t="e">
        <f t="shared" si="6"/>
        <v>#NUM!</v>
      </c>
      <c r="N34" s="622" t="e">
        <f t="shared" si="6"/>
        <v>#NUM!</v>
      </c>
      <c r="O34" s="622" t="e">
        <f t="shared" si="6"/>
        <v>#NUM!</v>
      </c>
      <c r="P34" s="625" t="e">
        <f t="shared" si="6"/>
        <v>#NUM!</v>
      </c>
      <c r="Q34" s="618" t="s">
        <v>316</v>
      </c>
    </row>
    <row r="35" spans="1:17" ht="15.75" x14ac:dyDescent="0.2">
      <c r="A35" s="677" t="s">
        <v>337</v>
      </c>
      <c r="B35" s="682">
        <v>18</v>
      </c>
      <c r="C35" s="355">
        <v>21</v>
      </c>
      <c r="D35" s="355">
        <v>25</v>
      </c>
      <c r="E35" s="683">
        <v>27</v>
      </c>
      <c r="F35" s="368">
        <v>80</v>
      </c>
      <c r="G35" s="624" t="e">
        <f t="shared" si="5"/>
        <v>#NUM!</v>
      </c>
      <c r="H35" s="623" t="e">
        <f t="shared" si="6"/>
        <v>#NUM!</v>
      </c>
      <c r="I35" s="622" t="e">
        <f t="shared" si="6"/>
        <v>#NUM!</v>
      </c>
      <c r="J35" s="622" t="e">
        <f t="shared" si="6"/>
        <v>#NUM!</v>
      </c>
      <c r="K35" s="622" t="e">
        <f t="shared" si="6"/>
        <v>#NUM!</v>
      </c>
      <c r="L35" s="622" t="e">
        <f t="shared" si="6"/>
        <v>#NUM!</v>
      </c>
      <c r="M35" s="622" t="e">
        <f t="shared" si="6"/>
        <v>#NUM!</v>
      </c>
      <c r="N35" s="622" t="e">
        <f t="shared" si="6"/>
        <v>#NUM!</v>
      </c>
      <c r="O35" s="622" t="e">
        <f t="shared" si="6"/>
        <v>#NUM!</v>
      </c>
      <c r="P35" s="625" t="e">
        <f t="shared" si="6"/>
        <v>#NUM!</v>
      </c>
      <c r="Q35" s="618" t="s">
        <v>316</v>
      </c>
    </row>
    <row r="36" spans="1:17" ht="15.75" x14ac:dyDescent="0.2">
      <c r="A36" s="677" t="s">
        <v>338</v>
      </c>
      <c r="B36" s="682">
        <v>18</v>
      </c>
      <c r="C36" s="355">
        <v>21</v>
      </c>
      <c r="D36" s="355">
        <v>25</v>
      </c>
      <c r="E36" s="683">
        <v>27</v>
      </c>
      <c r="F36" s="368">
        <v>80</v>
      </c>
      <c r="G36" s="624" t="e">
        <f t="shared" si="5"/>
        <v>#NUM!</v>
      </c>
      <c r="H36" s="623" t="e">
        <f t="shared" si="6"/>
        <v>#NUM!</v>
      </c>
      <c r="I36" s="622" t="e">
        <f t="shared" si="6"/>
        <v>#NUM!</v>
      </c>
      <c r="J36" s="622" t="e">
        <f t="shared" si="6"/>
        <v>#NUM!</v>
      </c>
      <c r="K36" s="622" t="e">
        <f t="shared" si="6"/>
        <v>#NUM!</v>
      </c>
      <c r="L36" s="622" t="e">
        <f t="shared" si="6"/>
        <v>#NUM!</v>
      </c>
      <c r="M36" s="622" t="e">
        <f t="shared" si="6"/>
        <v>#NUM!</v>
      </c>
      <c r="N36" s="622" t="e">
        <f t="shared" si="6"/>
        <v>#NUM!</v>
      </c>
      <c r="O36" s="622" t="e">
        <f t="shared" si="6"/>
        <v>#NUM!</v>
      </c>
      <c r="P36" s="625" t="e">
        <f t="shared" si="6"/>
        <v>#NUM!</v>
      </c>
      <c r="Q36" s="618" t="s">
        <v>316</v>
      </c>
    </row>
    <row r="37" spans="1:17" ht="15.75" x14ac:dyDescent="0.2">
      <c r="A37" s="677" t="s">
        <v>339</v>
      </c>
      <c r="B37" s="682">
        <v>18</v>
      </c>
      <c r="C37" s="355">
        <v>21</v>
      </c>
      <c r="D37" s="355">
        <v>25</v>
      </c>
      <c r="E37" s="683">
        <v>27</v>
      </c>
      <c r="F37" s="368">
        <v>80</v>
      </c>
      <c r="G37" s="624" t="e">
        <f t="shared" si="5"/>
        <v>#NUM!</v>
      </c>
      <c r="H37" s="623" t="e">
        <f t="shared" si="6"/>
        <v>#NUM!</v>
      </c>
      <c r="I37" s="622" t="e">
        <f t="shared" si="6"/>
        <v>#NUM!</v>
      </c>
      <c r="J37" s="622" t="e">
        <f t="shared" si="6"/>
        <v>#NUM!</v>
      </c>
      <c r="K37" s="622" t="e">
        <f t="shared" si="6"/>
        <v>#NUM!</v>
      </c>
      <c r="L37" s="622" t="e">
        <f t="shared" si="6"/>
        <v>#NUM!</v>
      </c>
      <c r="M37" s="622" t="e">
        <f t="shared" si="6"/>
        <v>#NUM!</v>
      </c>
      <c r="N37" s="622" t="e">
        <f t="shared" si="6"/>
        <v>#NUM!</v>
      </c>
      <c r="O37" s="622" t="e">
        <f t="shared" si="6"/>
        <v>#NUM!</v>
      </c>
      <c r="P37" s="625" t="e">
        <f t="shared" si="6"/>
        <v>#NUM!</v>
      </c>
      <c r="Q37" s="618" t="s">
        <v>316</v>
      </c>
    </row>
    <row r="38" spans="1:17" ht="15.75" x14ac:dyDescent="0.2">
      <c r="A38" s="677" t="s">
        <v>340</v>
      </c>
      <c r="B38" s="682">
        <v>18</v>
      </c>
      <c r="C38" s="355">
        <v>21</v>
      </c>
      <c r="D38" s="355">
        <v>25</v>
      </c>
      <c r="E38" s="683">
        <v>27</v>
      </c>
      <c r="F38" s="368">
        <v>80</v>
      </c>
      <c r="G38" s="624" t="e">
        <f t="shared" si="5"/>
        <v>#NUM!</v>
      </c>
      <c r="H38" s="623" t="e">
        <f t="shared" si="6"/>
        <v>#NUM!</v>
      </c>
      <c r="I38" s="622" t="e">
        <f t="shared" si="6"/>
        <v>#NUM!</v>
      </c>
      <c r="J38" s="622" t="e">
        <f t="shared" si="6"/>
        <v>#NUM!</v>
      </c>
      <c r="K38" s="622" t="e">
        <f t="shared" si="6"/>
        <v>#NUM!</v>
      </c>
      <c r="L38" s="622" t="e">
        <f t="shared" si="6"/>
        <v>#NUM!</v>
      </c>
      <c r="M38" s="622" t="e">
        <f t="shared" si="6"/>
        <v>#NUM!</v>
      </c>
      <c r="N38" s="622" t="e">
        <f t="shared" si="6"/>
        <v>#NUM!</v>
      </c>
      <c r="O38" s="622" t="e">
        <f t="shared" si="6"/>
        <v>#NUM!</v>
      </c>
      <c r="P38" s="625" t="e">
        <f t="shared" si="6"/>
        <v>#NUM!</v>
      </c>
      <c r="Q38" s="618" t="s">
        <v>316</v>
      </c>
    </row>
    <row r="39" spans="1:17" ht="15.75" x14ac:dyDescent="0.2">
      <c r="A39" s="677" t="s">
        <v>341</v>
      </c>
      <c r="B39" s="682">
        <v>18</v>
      </c>
      <c r="C39" s="355">
        <v>21</v>
      </c>
      <c r="D39" s="355">
        <v>25</v>
      </c>
      <c r="E39" s="683">
        <v>27</v>
      </c>
      <c r="F39" s="368">
        <v>80</v>
      </c>
      <c r="G39" s="624" t="e">
        <f t="shared" si="5"/>
        <v>#NUM!</v>
      </c>
      <c r="H39" s="623" t="e">
        <f t="shared" si="6"/>
        <v>#NUM!</v>
      </c>
      <c r="I39" s="622" t="e">
        <f t="shared" si="6"/>
        <v>#NUM!</v>
      </c>
      <c r="J39" s="622" t="e">
        <f t="shared" si="6"/>
        <v>#NUM!</v>
      </c>
      <c r="K39" s="622" t="e">
        <f t="shared" si="6"/>
        <v>#NUM!</v>
      </c>
      <c r="L39" s="622" t="e">
        <f t="shared" si="6"/>
        <v>#NUM!</v>
      </c>
      <c r="M39" s="622" t="e">
        <f t="shared" si="6"/>
        <v>#NUM!</v>
      </c>
      <c r="N39" s="622" t="e">
        <f t="shared" si="6"/>
        <v>#NUM!</v>
      </c>
      <c r="O39" s="622" t="e">
        <f t="shared" si="6"/>
        <v>#NUM!</v>
      </c>
      <c r="P39" s="625" t="e">
        <f t="shared" si="6"/>
        <v>#NUM!</v>
      </c>
      <c r="Q39" s="618" t="s">
        <v>316</v>
      </c>
    </row>
    <row r="40" spans="1:17" ht="15.75" x14ac:dyDescent="0.2">
      <c r="A40" s="677" t="s">
        <v>342</v>
      </c>
      <c r="B40" s="682">
        <v>18</v>
      </c>
      <c r="C40" s="355">
        <v>21</v>
      </c>
      <c r="D40" s="355">
        <v>25</v>
      </c>
      <c r="E40" s="683">
        <v>27</v>
      </c>
      <c r="F40" s="368">
        <v>80</v>
      </c>
      <c r="G40" s="624" t="e">
        <f t="shared" si="5"/>
        <v>#NUM!</v>
      </c>
      <c r="H40" s="623" t="e">
        <f t="shared" si="6"/>
        <v>#NUM!</v>
      </c>
      <c r="I40" s="622" t="e">
        <f t="shared" si="6"/>
        <v>#NUM!</v>
      </c>
      <c r="J40" s="622" t="e">
        <f t="shared" si="6"/>
        <v>#NUM!</v>
      </c>
      <c r="K40" s="622" t="e">
        <f t="shared" si="6"/>
        <v>#NUM!</v>
      </c>
      <c r="L40" s="622" t="e">
        <f t="shared" si="6"/>
        <v>#NUM!</v>
      </c>
      <c r="M40" s="622" t="e">
        <f t="shared" si="6"/>
        <v>#NUM!</v>
      </c>
      <c r="N40" s="622" t="e">
        <f t="shared" si="6"/>
        <v>#NUM!</v>
      </c>
      <c r="O40" s="622" t="e">
        <f t="shared" si="6"/>
        <v>#NUM!</v>
      </c>
      <c r="P40" s="625" t="e">
        <f t="shared" si="6"/>
        <v>#NUM!</v>
      </c>
      <c r="Q40" s="618" t="s">
        <v>316</v>
      </c>
    </row>
    <row r="41" spans="1:17" ht="15.75" x14ac:dyDescent="0.2">
      <c r="A41" s="677" t="s">
        <v>343</v>
      </c>
      <c r="B41" s="682">
        <v>18</v>
      </c>
      <c r="C41" s="355">
        <v>21</v>
      </c>
      <c r="D41" s="355">
        <v>25</v>
      </c>
      <c r="E41" s="683">
        <v>27</v>
      </c>
      <c r="F41" s="368">
        <v>80</v>
      </c>
      <c r="G41" s="624" t="e">
        <f t="shared" si="5"/>
        <v>#NUM!</v>
      </c>
      <c r="H41" s="623" t="e">
        <f t="shared" si="6"/>
        <v>#NUM!</v>
      </c>
      <c r="I41" s="622" t="e">
        <f t="shared" si="6"/>
        <v>#NUM!</v>
      </c>
      <c r="J41" s="622" t="e">
        <f t="shared" si="6"/>
        <v>#NUM!</v>
      </c>
      <c r="K41" s="622" t="e">
        <f t="shared" si="6"/>
        <v>#NUM!</v>
      </c>
      <c r="L41" s="622" t="e">
        <f t="shared" si="6"/>
        <v>#NUM!</v>
      </c>
      <c r="M41" s="622" t="e">
        <f t="shared" si="6"/>
        <v>#NUM!</v>
      </c>
      <c r="N41" s="622" t="e">
        <f t="shared" si="6"/>
        <v>#NUM!</v>
      </c>
      <c r="O41" s="622" t="e">
        <f t="shared" si="6"/>
        <v>#NUM!</v>
      </c>
      <c r="P41" s="625" t="e">
        <f t="shared" si="6"/>
        <v>#NUM!</v>
      </c>
      <c r="Q41" s="618" t="s">
        <v>316</v>
      </c>
    </row>
    <row r="42" spans="1:17" ht="15.75" x14ac:dyDescent="0.2">
      <c r="A42" s="677" t="s">
        <v>344</v>
      </c>
      <c r="B42" s="682">
        <v>18</v>
      </c>
      <c r="C42" s="355">
        <v>21</v>
      </c>
      <c r="D42" s="355">
        <v>25</v>
      </c>
      <c r="E42" s="683">
        <v>27</v>
      </c>
      <c r="F42" s="368">
        <v>80</v>
      </c>
      <c r="G42" s="624" t="e">
        <f t="shared" si="5"/>
        <v>#NUM!</v>
      </c>
      <c r="H42" s="623" t="e">
        <f t="shared" si="6"/>
        <v>#NUM!</v>
      </c>
      <c r="I42" s="622" t="e">
        <f t="shared" si="6"/>
        <v>#NUM!</v>
      </c>
      <c r="J42" s="622" t="e">
        <f t="shared" si="6"/>
        <v>#NUM!</v>
      </c>
      <c r="K42" s="622" t="e">
        <f t="shared" si="6"/>
        <v>#NUM!</v>
      </c>
      <c r="L42" s="622" t="e">
        <f t="shared" si="6"/>
        <v>#NUM!</v>
      </c>
      <c r="M42" s="622" t="e">
        <f t="shared" si="6"/>
        <v>#NUM!</v>
      </c>
      <c r="N42" s="622" t="e">
        <f t="shared" si="6"/>
        <v>#NUM!</v>
      </c>
      <c r="O42" s="622" t="e">
        <f t="shared" si="6"/>
        <v>#NUM!</v>
      </c>
      <c r="P42" s="625" t="e">
        <f t="shared" si="6"/>
        <v>#NUM!</v>
      </c>
      <c r="Q42" s="618" t="s">
        <v>316</v>
      </c>
    </row>
    <row r="43" spans="1:17" ht="16.5" thickBot="1" x14ac:dyDescent="0.25">
      <c r="A43" s="678" t="s">
        <v>345</v>
      </c>
      <c r="B43" s="684">
        <v>18</v>
      </c>
      <c r="C43" s="685">
        <v>21</v>
      </c>
      <c r="D43" s="685">
        <v>25</v>
      </c>
      <c r="E43" s="686">
        <v>27</v>
      </c>
      <c r="F43" s="368">
        <v>80</v>
      </c>
      <c r="G43" s="624" t="e">
        <f t="shared" si="5"/>
        <v>#NUM!</v>
      </c>
      <c r="H43" s="623" t="e">
        <f t="shared" si="6"/>
        <v>#NUM!</v>
      </c>
      <c r="I43" s="622" t="e">
        <f t="shared" si="6"/>
        <v>#NUM!</v>
      </c>
      <c r="J43" s="622" t="e">
        <f t="shared" si="6"/>
        <v>#NUM!</v>
      </c>
      <c r="K43" s="622" t="e">
        <f t="shared" si="6"/>
        <v>#NUM!</v>
      </c>
      <c r="L43" s="622" t="e">
        <f t="shared" si="6"/>
        <v>#NUM!</v>
      </c>
      <c r="M43" s="622" t="e">
        <f t="shared" si="6"/>
        <v>#NUM!</v>
      </c>
      <c r="N43" s="622" t="e">
        <f t="shared" si="6"/>
        <v>#NUM!</v>
      </c>
      <c r="O43" s="622" t="e">
        <f t="shared" si="6"/>
        <v>#NUM!</v>
      </c>
      <c r="P43" s="625" t="e">
        <f t="shared" si="6"/>
        <v>#NUM!</v>
      </c>
      <c r="Q43" s="618" t="s">
        <v>316</v>
      </c>
    </row>
    <row r="44" spans="1:17" ht="15.75" x14ac:dyDescent="0.2">
      <c r="A44" s="677" t="s">
        <v>292</v>
      </c>
      <c r="B44" s="679">
        <v>18</v>
      </c>
      <c r="C44" s="680">
        <v>21</v>
      </c>
      <c r="D44" s="680">
        <v>25</v>
      </c>
      <c r="E44" s="681">
        <v>27</v>
      </c>
      <c r="F44" s="368">
        <v>80</v>
      </c>
      <c r="G44" s="624" t="e">
        <f t="shared" si="5"/>
        <v>#NUM!</v>
      </c>
      <c r="H44" s="623" t="e">
        <f t="shared" si="6"/>
        <v>#NUM!</v>
      </c>
      <c r="I44" s="622" t="e">
        <f t="shared" si="6"/>
        <v>#NUM!</v>
      </c>
      <c r="J44" s="622" t="e">
        <f t="shared" si="6"/>
        <v>#NUM!</v>
      </c>
      <c r="K44" s="622" t="e">
        <f t="shared" si="6"/>
        <v>#NUM!</v>
      </c>
      <c r="L44" s="622" t="e">
        <f t="shared" si="6"/>
        <v>#NUM!</v>
      </c>
      <c r="M44" s="622" t="e">
        <f t="shared" si="6"/>
        <v>#NUM!</v>
      </c>
      <c r="N44" s="622" t="e">
        <f t="shared" si="6"/>
        <v>#NUM!</v>
      </c>
      <c r="O44" s="622" t="e">
        <f t="shared" si="6"/>
        <v>#NUM!</v>
      </c>
      <c r="P44" s="625" t="e">
        <f t="shared" si="6"/>
        <v>#NUM!</v>
      </c>
      <c r="Q44" s="618" t="s">
        <v>316</v>
      </c>
    </row>
    <row r="45" spans="1:17" ht="15.75" x14ac:dyDescent="0.2">
      <c r="A45" s="677" t="s">
        <v>293</v>
      </c>
      <c r="B45" s="682">
        <v>18</v>
      </c>
      <c r="C45" s="355">
        <v>21</v>
      </c>
      <c r="D45" s="355">
        <v>25</v>
      </c>
      <c r="E45" s="683">
        <v>27</v>
      </c>
      <c r="F45" s="368">
        <v>80</v>
      </c>
      <c r="G45" s="624" t="e">
        <f t="shared" si="5"/>
        <v>#NUM!</v>
      </c>
      <c r="H45" s="623" t="e">
        <f t="shared" si="6"/>
        <v>#NUM!</v>
      </c>
      <c r="I45" s="622" t="e">
        <f t="shared" si="6"/>
        <v>#NUM!</v>
      </c>
      <c r="J45" s="622" t="e">
        <f t="shared" si="6"/>
        <v>#NUM!</v>
      </c>
      <c r="K45" s="622" t="e">
        <f t="shared" si="6"/>
        <v>#NUM!</v>
      </c>
      <c r="L45" s="622" t="e">
        <f t="shared" si="6"/>
        <v>#NUM!</v>
      </c>
      <c r="M45" s="622" t="e">
        <f t="shared" si="6"/>
        <v>#NUM!</v>
      </c>
      <c r="N45" s="622" t="e">
        <f t="shared" si="6"/>
        <v>#NUM!</v>
      </c>
      <c r="O45" s="622" t="e">
        <f t="shared" si="6"/>
        <v>#NUM!</v>
      </c>
      <c r="P45" s="625" t="e">
        <f t="shared" si="6"/>
        <v>#NUM!</v>
      </c>
      <c r="Q45" s="618" t="s">
        <v>316</v>
      </c>
    </row>
    <row r="46" spans="1:17" ht="15.75" x14ac:dyDescent="0.2">
      <c r="A46" s="677" t="s">
        <v>294</v>
      </c>
      <c r="B46" s="682">
        <v>18</v>
      </c>
      <c r="C46" s="355">
        <v>21</v>
      </c>
      <c r="D46" s="355">
        <v>25</v>
      </c>
      <c r="E46" s="683">
        <v>27</v>
      </c>
      <c r="F46" s="368">
        <v>80</v>
      </c>
      <c r="G46" s="624" t="e">
        <f t="shared" si="5"/>
        <v>#NUM!</v>
      </c>
      <c r="H46" s="623" t="e">
        <f t="shared" si="6"/>
        <v>#NUM!</v>
      </c>
      <c r="I46" s="622" t="e">
        <f t="shared" si="6"/>
        <v>#NUM!</v>
      </c>
      <c r="J46" s="622" t="e">
        <f t="shared" si="6"/>
        <v>#NUM!</v>
      </c>
      <c r="K46" s="622" t="e">
        <f t="shared" si="6"/>
        <v>#NUM!</v>
      </c>
      <c r="L46" s="622" t="e">
        <f t="shared" si="6"/>
        <v>#NUM!</v>
      </c>
      <c r="M46" s="622" t="e">
        <f t="shared" si="6"/>
        <v>#NUM!</v>
      </c>
      <c r="N46" s="622" t="e">
        <f t="shared" si="6"/>
        <v>#NUM!</v>
      </c>
      <c r="O46" s="622" t="e">
        <f t="shared" si="6"/>
        <v>#NUM!</v>
      </c>
      <c r="P46" s="625" t="e">
        <f t="shared" si="6"/>
        <v>#NUM!</v>
      </c>
      <c r="Q46" s="618" t="s">
        <v>316</v>
      </c>
    </row>
    <row r="47" spans="1:17" ht="15.75" x14ac:dyDescent="0.2">
      <c r="A47" s="677" t="s">
        <v>295</v>
      </c>
      <c r="B47" s="682">
        <v>18</v>
      </c>
      <c r="C47" s="355">
        <v>21</v>
      </c>
      <c r="D47" s="355">
        <v>25</v>
      </c>
      <c r="E47" s="683">
        <v>27</v>
      </c>
      <c r="F47" s="368">
        <v>80</v>
      </c>
      <c r="G47" s="624" t="e">
        <f t="shared" si="5"/>
        <v>#NUM!</v>
      </c>
      <c r="H47" s="623" t="e">
        <f t="shared" si="6"/>
        <v>#NUM!</v>
      </c>
      <c r="I47" s="622" t="e">
        <f t="shared" si="6"/>
        <v>#NUM!</v>
      </c>
      <c r="J47" s="622" t="e">
        <f t="shared" si="6"/>
        <v>#NUM!</v>
      </c>
      <c r="K47" s="622" t="e">
        <f t="shared" si="6"/>
        <v>#NUM!</v>
      </c>
      <c r="L47" s="622" t="e">
        <f t="shared" si="6"/>
        <v>#NUM!</v>
      </c>
      <c r="M47" s="622" t="e">
        <f t="shared" si="6"/>
        <v>#NUM!</v>
      </c>
      <c r="N47" s="622" t="e">
        <f t="shared" si="6"/>
        <v>#NUM!</v>
      </c>
      <c r="O47" s="622" t="e">
        <f t="shared" si="6"/>
        <v>#NUM!</v>
      </c>
      <c r="P47" s="625" t="e">
        <f t="shared" si="6"/>
        <v>#NUM!</v>
      </c>
      <c r="Q47" s="618" t="s">
        <v>316</v>
      </c>
    </row>
    <row r="48" spans="1:17" ht="15.75" x14ac:dyDescent="0.2">
      <c r="A48" s="677" t="s">
        <v>296</v>
      </c>
      <c r="B48" s="682">
        <v>18</v>
      </c>
      <c r="C48" s="355">
        <v>21</v>
      </c>
      <c r="D48" s="355">
        <v>25</v>
      </c>
      <c r="E48" s="683">
        <v>27</v>
      </c>
      <c r="F48" s="368">
        <v>80</v>
      </c>
      <c r="G48" s="624" t="e">
        <f t="shared" si="5"/>
        <v>#NUM!</v>
      </c>
      <c r="H48" s="623" t="e">
        <f t="shared" si="6"/>
        <v>#NUM!</v>
      </c>
      <c r="I48" s="622" t="e">
        <f t="shared" si="6"/>
        <v>#NUM!</v>
      </c>
      <c r="J48" s="622" t="e">
        <f t="shared" si="6"/>
        <v>#NUM!</v>
      </c>
      <c r="K48" s="622" t="e">
        <f t="shared" si="6"/>
        <v>#NUM!</v>
      </c>
      <c r="L48" s="622" t="e">
        <f t="shared" si="6"/>
        <v>#NUM!</v>
      </c>
      <c r="M48" s="622" t="e">
        <f t="shared" si="6"/>
        <v>#NUM!</v>
      </c>
      <c r="N48" s="622" t="e">
        <f t="shared" si="6"/>
        <v>#NUM!</v>
      </c>
      <c r="O48" s="622" t="e">
        <f t="shared" si="6"/>
        <v>#NUM!</v>
      </c>
      <c r="P48" s="625" t="e">
        <f t="shared" si="6"/>
        <v>#NUM!</v>
      </c>
      <c r="Q48" s="618" t="s">
        <v>316</v>
      </c>
    </row>
    <row r="49" spans="1:17" ht="15.75" x14ac:dyDescent="0.2">
      <c r="A49" s="677" t="s">
        <v>297</v>
      </c>
      <c r="B49" s="682">
        <v>18</v>
      </c>
      <c r="C49" s="355">
        <v>21</v>
      </c>
      <c r="D49" s="355">
        <v>25</v>
      </c>
      <c r="E49" s="683">
        <v>27</v>
      </c>
      <c r="F49" s="368">
        <v>80</v>
      </c>
      <c r="G49" s="624" t="e">
        <f t="shared" si="5"/>
        <v>#NUM!</v>
      </c>
      <c r="H49" s="623" t="e">
        <f t="shared" si="6"/>
        <v>#NUM!</v>
      </c>
      <c r="I49" s="622" t="e">
        <f t="shared" si="6"/>
        <v>#NUM!</v>
      </c>
      <c r="J49" s="622" t="e">
        <f t="shared" si="6"/>
        <v>#NUM!</v>
      </c>
      <c r="K49" s="622" t="e">
        <f t="shared" si="6"/>
        <v>#NUM!</v>
      </c>
      <c r="L49" s="622" t="e">
        <f t="shared" si="6"/>
        <v>#NUM!</v>
      </c>
      <c r="M49" s="622" t="e">
        <f t="shared" si="6"/>
        <v>#NUM!</v>
      </c>
      <c r="N49" s="622" t="e">
        <f t="shared" si="6"/>
        <v>#NUM!</v>
      </c>
      <c r="O49" s="622" t="e">
        <f t="shared" si="6"/>
        <v>#NUM!</v>
      </c>
      <c r="P49" s="625" t="e">
        <f t="shared" si="6"/>
        <v>#NUM!</v>
      </c>
      <c r="Q49" s="618" t="s">
        <v>316</v>
      </c>
    </row>
    <row r="50" spans="1:17" ht="15.75" x14ac:dyDescent="0.2">
      <c r="A50" s="677" t="s">
        <v>298</v>
      </c>
      <c r="B50" s="682">
        <v>18</v>
      </c>
      <c r="C50" s="355">
        <v>21</v>
      </c>
      <c r="D50" s="355">
        <v>25</v>
      </c>
      <c r="E50" s="683">
        <v>27</v>
      </c>
      <c r="F50" s="368">
        <v>80</v>
      </c>
      <c r="G50" s="624" t="e">
        <f t="shared" si="5"/>
        <v>#NUM!</v>
      </c>
      <c r="H50" s="623" t="e">
        <f t="shared" si="6"/>
        <v>#NUM!</v>
      </c>
      <c r="I50" s="622" t="e">
        <f t="shared" si="6"/>
        <v>#NUM!</v>
      </c>
      <c r="J50" s="622" t="e">
        <f t="shared" si="6"/>
        <v>#NUM!</v>
      </c>
      <c r="K50" s="622" t="e">
        <f t="shared" si="6"/>
        <v>#NUM!</v>
      </c>
      <c r="L50" s="622" t="e">
        <f t="shared" si="6"/>
        <v>#NUM!</v>
      </c>
      <c r="M50" s="622" t="e">
        <f t="shared" si="6"/>
        <v>#NUM!</v>
      </c>
      <c r="N50" s="622" t="e">
        <f t="shared" si="6"/>
        <v>#NUM!</v>
      </c>
      <c r="O50" s="622" t="e">
        <f t="shared" si="6"/>
        <v>#NUM!</v>
      </c>
      <c r="P50" s="625" t="e">
        <f t="shared" si="6"/>
        <v>#NUM!</v>
      </c>
      <c r="Q50" s="618" t="s">
        <v>316</v>
      </c>
    </row>
    <row r="51" spans="1:17" ht="15.75" x14ac:dyDescent="0.2">
      <c r="A51" s="677" t="s">
        <v>299</v>
      </c>
      <c r="B51" s="682">
        <v>18</v>
      </c>
      <c r="C51" s="355">
        <v>21</v>
      </c>
      <c r="D51" s="355">
        <v>25</v>
      </c>
      <c r="E51" s="683">
        <v>27</v>
      </c>
      <c r="F51" s="368">
        <v>80</v>
      </c>
      <c r="G51" s="624" t="e">
        <f t="shared" si="5"/>
        <v>#NUM!</v>
      </c>
      <c r="H51" s="623" t="e">
        <f t="shared" si="6"/>
        <v>#NUM!</v>
      </c>
      <c r="I51" s="622" t="e">
        <f t="shared" si="6"/>
        <v>#NUM!</v>
      </c>
      <c r="J51" s="622" t="e">
        <f t="shared" si="6"/>
        <v>#NUM!</v>
      </c>
      <c r="K51" s="622" t="e">
        <f t="shared" si="6"/>
        <v>#NUM!</v>
      </c>
      <c r="L51" s="622" t="e">
        <f t="shared" si="6"/>
        <v>#NUM!</v>
      </c>
      <c r="M51" s="622" t="e">
        <f t="shared" si="6"/>
        <v>#NUM!</v>
      </c>
      <c r="N51" s="622" t="e">
        <f t="shared" si="6"/>
        <v>#NUM!</v>
      </c>
      <c r="O51" s="622" t="e">
        <f t="shared" si="6"/>
        <v>#NUM!</v>
      </c>
      <c r="P51" s="625" t="e">
        <f t="shared" si="6"/>
        <v>#NUM!</v>
      </c>
      <c r="Q51" s="618" t="s">
        <v>316</v>
      </c>
    </row>
    <row r="52" spans="1:17" ht="15.75" x14ac:dyDescent="0.2">
      <c r="A52" s="677" t="s">
        <v>300</v>
      </c>
      <c r="B52" s="682">
        <v>18</v>
      </c>
      <c r="C52" s="355">
        <v>21</v>
      </c>
      <c r="D52" s="355">
        <v>25</v>
      </c>
      <c r="E52" s="683">
        <v>27</v>
      </c>
      <c r="F52" s="368">
        <v>80</v>
      </c>
      <c r="G52" s="624" t="e">
        <f t="shared" si="5"/>
        <v>#NUM!</v>
      </c>
      <c r="H52" s="623" t="e">
        <f t="shared" si="6"/>
        <v>#NUM!</v>
      </c>
      <c r="I52" s="622" t="e">
        <f t="shared" si="6"/>
        <v>#NUM!</v>
      </c>
      <c r="J52" s="622" t="e">
        <f t="shared" si="6"/>
        <v>#NUM!</v>
      </c>
      <c r="K52" s="622" t="e">
        <f t="shared" si="6"/>
        <v>#NUM!</v>
      </c>
      <c r="L52" s="622" t="e">
        <f t="shared" si="6"/>
        <v>#NUM!</v>
      </c>
      <c r="M52" s="622" t="e">
        <f t="shared" si="6"/>
        <v>#NUM!</v>
      </c>
      <c r="N52" s="622" t="e">
        <f t="shared" si="6"/>
        <v>#NUM!</v>
      </c>
      <c r="O52" s="622" t="e">
        <f t="shared" si="6"/>
        <v>#NUM!</v>
      </c>
      <c r="P52" s="625" t="e">
        <f t="shared" si="6"/>
        <v>#NUM!</v>
      </c>
      <c r="Q52" s="618" t="s">
        <v>316</v>
      </c>
    </row>
    <row r="53" spans="1:17" ht="15.75" x14ac:dyDescent="0.2">
      <c r="A53" s="677" t="s">
        <v>303</v>
      </c>
      <c r="B53" s="682">
        <v>18</v>
      </c>
      <c r="C53" s="355">
        <v>21</v>
      </c>
      <c r="D53" s="355">
        <v>25</v>
      </c>
      <c r="E53" s="683">
        <v>27</v>
      </c>
      <c r="F53" s="368">
        <v>80</v>
      </c>
      <c r="G53" s="624" t="e">
        <f t="shared" si="5"/>
        <v>#NUM!</v>
      </c>
      <c r="H53" s="623" t="e">
        <f t="shared" si="6"/>
        <v>#NUM!</v>
      </c>
      <c r="I53" s="622" t="e">
        <f t="shared" si="6"/>
        <v>#NUM!</v>
      </c>
      <c r="J53" s="622" t="e">
        <f t="shared" si="6"/>
        <v>#NUM!</v>
      </c>
      <c r="K53" s="622" t="e">
        <f t="shared" si="6"/>
        <v>#NUM!</v>
      </c>
      <c r="L53" s="622" t="e">
        <f t="shared" si="6"/>
        <v>#NUM!</v>
      </c>
      <c r="M53" s="622" t="e">
        <f t="shared" si="6"/>
        <v>#NUM!</v>
      </c>
      <c r="N53" s="622" t="e">
        <f t="shared" si="6"/>
        <v>#NUM!</v>
      </c>
      <c r="O53" s="622" t="e">
        <f t="shared" si="6"/>
        <v>#NUM!</v>
      </c>
      <c r="P53" s="625" t="e">
        <f t="shared" si="6"/>
        <v>#NUM!</v>
      </c>
      <c r="Q53" s="618" t="s">
        <v>316</v>
      </c>
    </row>
    <row r="54" spans="1:17" ht="15.75" x14ac:dyDescent="0.2">
      <c r="A54" s="677" t="s">
        <v>301</v>
      </c>
      <c r="B54" s="682">
        <v>18</v>
      </c>
      <c r="C54" s="355">
        <v>21</v>
      </c>
      <c r="D54" s="355">
        <v>25</v>
      </c>
      <c r="E54" s="683">
        <v>27</v>
      </c>
      <c r="F54" s="368">
        <v>80</v>
      </c>
      <c r="G54" s="624" t="e">
        <f t="shared" si="5"/>
        <v>#NUM!</v>
      </c>
      <c r="H54" s="623" t="e">
        <f t="shared" si="6"/>
        <v>#NUM!</v>
      </c>
      <c r="I54" s="622" t="e">
        <f t="shared" si="6"/>
        <v>#NUM!</v>
      </c>
      <c r="J54" s="622" t="e">
        <f t="shared" si="6"/>
        <v>#NUM!</v>
      </c>
      <c r="K54" s="622" t="e">
        <f t="shared" ref="I54:P67" si="7">ROUND(K$6/6.2*$G54,2)</f>
        <v>#NUM!</v>
      </c>
      <c r="L54" s="622" t="e">
        <f t="shared" si="7"/>
        <v>#NUM!</v>
      </c>
      <c r="M54" s="622" t="e">
        <f t="shared" si="7"/>
        <v>#NUM!</v>
      </c>
      <c r="N54" s="622" t="e">
        <f t="shared" si="7"/>
        <v>#NUM!</v>
      </c>
      <c r="O54" s="622" t="e">
        <f t="shared" si="7"/>
        <v>#NUM!</v>
      </c>
      <c r="P54" s="625" t="e">
        <f t="shared" si="7"/>
        <v>#NUM!</v>
      </c>
      <c r="Q54" s="618" t="s">
        <v>316</v>
      </c>
    </row>
    <row r="55" spans="1:17" ht="16.5" thickBot="1" x14ac:dyDescent="0.25">
      <c r="A55" s="687" t="s">
        <v>302</v>
      </c>
      <c r="B55" s="684">
        <v>18</v>
      </c>
      <c r="C55" s="685">
        <v>21</v>
      </c>
      <c r="D55" s="685">
        <v>25</v>
      </c>
      <c r="E55" s="686">
        <v>27</v>
      </c>
      <c r="F55" s="368">
        <v>80</v>
      </c>
      <c r="G55" s="624" t="e">
        <f t="shared" si="5"/>
        <v>#NUM!</v>
      </c>
      <c r="H55" s="623" t="e">
        <f t="shared" ref="H55:H67" si="8">ROUND(H$6/6.2*$G55,2)</f>
        <v>#NUM!</v>
      </c>
      <c r="I55" s="622" t="e">
        <f t="shared" si="7"/>
        <v>#NUM!</v>
      </c>
      <c r="J55" s="622" t="e">
        <f t="shared" si="7"/>
        <v>#NUM!</v>
      </c>
      <c r="K55" s="622" t="e">
        <f t="shared" si="7"/>
        <v>#NUM!</v>
      </c>
      <c r="L55" s="622" t="e">
        <f t="shared" si="7"/>
        <v>#NUM!</v>
      </c>
      <c r="M55" s="622" t="e">
        <f t="shared" si="7"/>
        <v>#NUM!</v>
      </c>
      <c r="N55" s="622" t="e">
        <f t="shared" si="7"/>
        <v>#NUM!</v>
      </c>
      <c r="O55" s="622" t="e">
        <f t="shared" si="7"/>
        <v>#NUM!</v>
      </c>
      <c r="P55" s="625" t="e">
        <f t="shared" si="7"/>
        <v>#NUM!</v>
      </c>
      <c r="Q55" s="618" t="s">
        <v>316</v>
      </c>
    </row>
    <row r="56" spans="1:17" ht="15.75" x14ac:dyDescent="0.2">
      <c r="A56" s="676" t="s">
        <v>304</v>
      </c>
      <c r="B56" s="679">
        <v>18</v>
      </c>
      <c r="C56" s="680">
        <v>21</v>
      </c>
      <c r="D56" s="680">
        <v>25</v>
      </c>
      <c r="E56" s="681">
        <v>27</v>
      </c>
      <c r="F56" s="368">
        <v>80</v>
      </c>
      <c r="G56" s="624" t="e">
        <f t="shared" si="5"/>
        <v>#NUM!</v>
      </c>
      <c r="H56" s="623" t="e">
        <f t="shared" si="8"/>
        <v>#NUM!</v>
      </c>
      <c r="I56" s="622" t="e">
        <f t="shared" si="7"/>
        <v>#NUM!</v>
      </c>
      <c r="J56" s="622" t="e">
        <f t="shared" si="7"/>
        <v>#NUM!</v>
      </c>
      <c r="K56" s="622" t="e">
        <f t="shared" si="7"/>
        <v>#NUM!</v>
      </c>
      <c r="L56" s="622" t="e">
        <f t="shared" si="7"/>
        <v>#NUM!</v>
      </c>
      <c r="M56" s="622" t="e">
        <f t="shared" si="7"/>
        <v>#NUM!</v>
      </c>
      <c r="N56" s="622" t="e">
        <f t="shared" si="7"/>
        <v>#NUM!</v>
      </c>
      <c r="O56" s="622" t="e">
        <f t="shared" si="7"/>
        <v>#NUM!</v>
      </c>
      <c r="P56" s="625" t="e">
        <f t="shared" si="7"/>
        <v>#NUM!</v>
      </c>
      <c r="Q56" s="618" t="s">
        <v>316</v>
      </c>
    </row>
    <row r="57" spans="1:17" ht="15.75" x14ac:dyDescent="0.2">
      <c r="A57" s="677" t="s">
        <v>305</v>
      </c>
      <c r="B57" s="682">
        <v>18</v>
      </c>
      <c r="C57" s="355">
        <v>21</v>
      </c>
      <c r="D57" s="355">
        <v>25</v>
      </c>
      <c r="E57" s="683">
        <v>27</v>
      </c>
      <c r="F57" s="368">
        <v>80</v>
      </c>
      <c r="G57" s="624" t="e">
        <f t="shared" si="5"/>
        <v>#NUM!</v>
      </c>
      <c r="H57" s="623" t="e">
        <f t="shared" si="8"/>
        <v>#NUM!</v>
      </c>
      <c r="I57" s="622" t="e">
        <f t="shared" si="7"/>
        <v>#NUM!</v>
      </c>
      <c r="J57" s="622" t="e">
        <f t="shared" si="7"/>
        <v>#NUM!</v>
      </c>
      <c r="K57" s="622" t="e">
        <f t="shared" si="7"/>
        <v>#NUM!</v>
      </c>
      <c r="L57" s="622" t="e">
        <f t="shared" si="7"/>
        <v>#NUM!</v>
      </c>
      <c r="M57" s="622" t="e">
        <f t="shared" si="7"/>
        <v>#NUM!</v>
      </c>
      <c r="N57" s="622" t="e">
        <f t="shared" si="7"/>
        <v>#NUM!</v>
      </c>
      <c r="O57" s="622" t="e">
        <f t="shared" si="7"/>
        <v>#NUM!</v>
      </c>
      <c r="P57" s="625" t="e">
        <f t="shared" si="7"/>
        <v>#NUM!</v>
      </c>
      <c r="Q57" s="618" t="s">
        <v>316</v>
      </c>
    </row>
    <row r="58" spans="1:17" ht="15.75" x14ac:dyDescent="0.2">
      <c r="A58" s="677" t="s">
        <v>306</v>
      </c>
      <c r="B58" s="682">
        <v>18</v>
      </c>
      <c r="C58" s="355">
        <v>21</v>
      </c>
      <c r="D58" s="355">
        <v>25</v>
      </c>
      <c r="E58" s="683">
        <v>27</v>
      </c>
      <c r="F58" s="368">
        <v>80</v>
      </c>
      <c r="G58" s="624" t="e">
        <f t="shared" si="5"/>
        <v>#NUM!</v>
      </c>
      <c r="H58" s="623" t="e">
        <f t="shared" si="8"/>
        <v>#NUM!</v>
      </c>
      <c r="I58" s="622" t="e">
        <f t="shared" si="7"/>
        <v>#NUM!</v>
      </c>
      <c r="J58" s="622" t="e">
        <f t="shared" si="7"/>
        <v>#NUM!</v>
      </c>
      <c r="K58" s="622" t="e">
        <f t="shared" si="7"/>
        <v>#NUM!</v>
      </c>
      <c r="L58" s="622" t="e">
        <f t="shared" si="7"/>
        <v>#NUM!</v>
      </c>
      <c r="M58" s="622" t="e">
        <f t="shared" si="7"/>
        <v>#NUM!</v>
      </c>
      <c r="N58" s="622" t="e">
        <f t="shared" si="7"/>
        <v>#NUM!</v>
      </c>
      <c r="O58" s="622" t="e">
        <f t="shared" si="7"/>
        <v>#NUM!</v>
      </c>
      <c r="P58" s="625" t="e">
        <f t="shared" si="7"/>
        <v>#NUM!</v>
      </c>
      <c r="Q58" s="618" t="s">
        <v>316</v>
      </c>
    </row>
    <row r="59" spans="1:17" ht="15.75" x14ac:dyDescent="0.2">
      <c r="A59" s="677" t="s">
        <v>307</v>
      </c>
      <c r="B59" s="682">
        <v>18</v>
      </c>
      <c r="C59" s="355">
        <v>21</v>
      </c>
      <c r="D59" s="355">
        <v>25</v>
      </c>
      <c r="E59" s="683">
        <v>27</v>
      </c>
      <c r="F59" s="368">
        <v>80</v>
      </c>
      <c r="G59" s="624" t="e">
        <f t="shared" si="5"/>
        <v>#NUM!</v>
      </c>
      <c r="H59" s="623" t="e">
        <f t="shared" si="8"/>
        <v>#NUM!</v>
      </c>
      <c r="I59" s="622" t="e">
        <f t="shared" si="7"/>
        <v>#NUM!</v>
      </c>
      <c r="J59" s="622" t="e">
        <f t="shared" si="7"/>
        <v>#NUM!</v>
      </c>
      <c r="K59" s="622" t="e">
        <f t="shared" si="7"/>
        <v>#NUM!</v>
      </c>
      <c r="L59" s="622" t="e">
        <f t="shared" si="7"/>
        <v>#NUM!</v>
      </c>
      <c r="M59" s="622" t="e">
        <f t="shared" si="7"/>
        <v>#NUM!</v>
      </c>
      <c r="N59" s="622" t="e">
        <f t="shared" si="7"/>
        <v>#NUM!</v>
      </c>
      <c r="O59" s="622" t="e">
        <f t="shared" si="7"/>
        <v>#NUM!</v>
      </c>
      <c r="P59" s="625" t="e">
        <f t="shared" si="7"/>
        <v>#NUM!</v>
      </c>
      <c r="Q59" s="618" t="s">
        <v>316</v>
      </c>
    </row>
    <row r="60" spans="1:17" ht="15.75" x14ac:dyDescent="0.2">
      <c r="A60" s="677" t="s">
        <v>308</v>
      </c>
      <c r="B60" s="682">
        <v>18</v>
      </c>
      <c r="C60" s="355">
        <v>21</v>
      </c>
      <c r="D60" s="355">
        <v>25</v>
      </c>
      <c r="E60" s="683">
        <v>27</v>
      </c>
      <c r="F60" s="368">
        <v>80</v>
      </c>
      <c r="G60" s="624" t="e">
        <f t="shared" si="5"/>
        <v>#NUM!</v>
      </c>
      <c r="H60" s="623" t="e">
        <f t="shared" si="8"/>
        <v>#NUM!</v>
      </c>
      <c r="I60" s="622" t="e">
        <f t="shared" si="7"/>
        <v>#NUM!</v>
      </c>
      <c r="J60" s="622" t="e">
        <f t="shared" si="7"/>
        <v>#NUM!</v>
      </c>
      <c r="K60" s="622" t="e">
        <f t="shared" si="7"/>
        <v>#NUM!</v>
      </c>
      <c r="L60" s="622" t="e">
        <f t="shared" si="7"/>
        <v>#NUM!</v>
      </c>
      <c r="M60" s="622" t="e">
        <f t="shared" si="7"/>
        <v>#NUM!</v>
      </c>
      <c r="N60" s="622" t="e">
        <f t="shared" si="7"/>
        <v>#NUM!</v>
      </c>
      <c r="O60" s="622" t="e">
        <f t="shared" si="7"/>
        <v>#NUM!</v>
      </c>
      <c r="P60" s="625" t="e">
        <f t="shared" si="7"/>
        <v>#NUM!</v>
      </c>
      <c r="Q60" s="618" t="s">
        <v>316</v>
      </c>
    </row>
    <row r="61" spans="1:17" ht="15.75" x14ac:dyDescent="0.2">
      <c r="A61" s="677" t="s">
        <v>309</v>
      </c>
      <c r="B61" s="682">
        <v>18</v>
      </c>
      <c r="C61" s="355">
        <v>21</v>
      </c>
      <c r="D61" s="355">
        <v>25</v>
      </c>
      <c r="E61" s="683">
        <v>27</v>
      </c>
      <c r="F61" s="368">
        <v>80</v>
      </c>
      <c r="G61" s="624" t="e">
        <f t="shared" si="5"/>
        <v>#NUM!</v>
      </c>
      <c r="H61" s="623" t="e">
        <f t="shared" si="8"/>
        <v>#NUM!</v>
      </c>
      <c r="I61" s="622" t="e">
        <f t="shared" si="7"/>
        <v>#NUM!</v>
      </c>
      <c r="J61" s="622" t="e">
        <f t="shared" si="7"/>
        <v>#NUM!</v>
      </c>
      <c r="K61" s="622" t="e">
        <f t="shared" si="7"/>
        <v>#NUM!</v>
      </c>
      <c r="L61" s="622" t="e">
        <f t="shared" si="7"/>
        <v>#NUM!</v>
      </c>
      <c r="M61" s="622" t="e">
        <f t="shared" si="7"/>
        <v>#NUM!</v>
      </c>
      <c r="N61" s="622" t="e">
        <f t="shared" si="7"/>
        <v>#NUM!</v>
      </c>
      <c r="O61" s="622" t="e">
        <f t="shared" si="7"/>
        <v>#NUM!</v>
      </c>
      <c r="P61" s="625" t="e">
        <f t="shared" si="7"/>
        <v>#NUM!</v>
      </c>
      <c r="Q61" s="618" t="s">
        <v>316</v>
      </c>
    </row>
    <row r="62" spans="1:17" ht="15.75" x14ac:dyDescent="0.2">
      <c r="A62" s="677" t="s">
        <v>310</v>
      </c>
      <c r="B62" s="682">
        <v>18</v>
      </c>
      <c r="C62" s="355">
        <v>21</v>
      </c>
      <c r="D62" s="355">
        <v>25</v>
      </c>
      <c r="E62" s="683">
        <v>27</v>
      </c>
      <c r="F62" s="368">
        <v>80</v>
      </c>
      <c r="G62" s="624" t="e">
        <f t="shared" si="5"/>
        <v>#NUM!</v>
      </c>
      <c r="H62" s="623" t="e">
        <f t="shared" si="8"/>
        <v>#NUM!</v>
      </c>
      <c r="I62" s="622" t="e">
        <f t="shared" si="7"/>
        <v>#NUM!</v>
      </c>
      <c r="J62" s="622" t="e">
        <f t="shared" si="7"/>
        <v>#NUM!</v>
      </c>
      <c r="K62" s="622" t="e">
        <f t="shared" si="7"/>
        <v>#NUM!</v>
      </c>
      <c r="L62" s="622" t="e">
        <f t="shared" si="7"/>
        <v>#NUM!</v>
      </c>
      <c r="M62" s="622" t="e">
        <f t="shared" si="7"/>
        <v>#NUM!</v>
      </c>
      <c r="N62" s="622" t="e">
        <f t="shared" si="7"/>
        <v>#NUM!</v>
      </c>
      <c r="O62" s="622" t="e">
        <f t="shared" si="7"/>
        <v>#NUM!</v>
      </c>
      <c r="P62" s="625" t="e">
        <f t="shared" si="7"/>
        <v>#NUM!</v>
      </c>
      <c r="Q62" s="618" t="s">
        <v>316</v>
      </c>
    </row>
    <row r="63" spans="1:17" ht="15.75" x14ac:dyDescent="0.2">
      <c r="A63" s="677" t="s">
        <v>311</v>
      </c>
      <c r="B63" s="682">
        <v>18</v>
      </c>
      <c r="C63" s="355">
        <v>21</v>
      </c>
      <c r="D63" s="355">
        <v>25</v>
      </c>
      <c r="E63" s="683">
        <v>27</v>
      </c>
      <c r="F63" s="368">
        <v>80</v>
      </c>
      <c r="G63" s="624" t="e">
        <f t="shared" si="5"/>
        <v>#NUM!</v>
      </c>
      <c r="H63" s="623" t="e">
        <f t="shared" si="8"/>
        <v>#NUM!</v>
      </c>
      <c r="I63" s="622" t="e">
        <f t="shared" si="7"/>
        <v>#NUM!</v>
      </c>
      <c r="J63" s="622" t="e">
        <f t="shared" si="7"/>
        <v>#NUM!</v>
      </c>
      <c r="K63" s="622" t="e">
        <f t="shared" si="7"/>
        <v>#NUM!</v>
      </c>
      <c r="L63" s="622" t="e">
        <f t="shared" si="7"/>
        <v>#NUM!</v>
      </c>
      <c r="M63" s="622" t="e">
        <f t="shared" si="7"/>
        <v>#NUM!</v>
      </c>
      <c r="N63" s="622" t="e">
        <f t="shared" si="7"/>
        <v>#NUM!</v>
      </c>
      <c r="O63" s="622" t="e">
        <f t="shared" si="7"/>
        <v>#NUM!</v>
      </c>
      <c r="P63" s="625" t="e">
        <f t="shared" si="7"/>
        <v>#NUM!</v>
      </c>
      <c r="Q63" s="618" t="s">
        <v>316</v>
      </c>
    </row>
    <row r="64" spans="1:17" ht="15.75" x14ac:dyDescent="0.2">
      <c r="A64" s="677" t="s">
        <v>312</v>
      </c>
      <c r="B64" s="682">
        <v>18</v>
      </c>
      <c r="C64" s="355">
        <v>21</v>
      </c>
      <c r="D64" s="355">
        <v>25</v>
      </c>
      <c r="E64" s="683">
        <v>27</v>
      </c>
      <c r="F64" s="368">
        <v>80</v>
      </c>
      <c r="G64" s="624" t="e">
        <f t="shared" si="5"/>
        <v>#NUM!</v>
      </c>
      <c r="H64" s="623" t="e">
        <f t="shared" si="8"/>
        <v>#NUM!</v>
      </c>
      <c r="I64" s="622" t="e">
        <f t="shared" si="7"/>
        <v>#NUM!</v>
      </c>
      <c r="J64" s="622" t="e">
        <f t="shared" si="7"/>
        <v>#NUM!</v>
      </c>
      <c r="K64" s="622" t="e">
        <f t="shared" si="7"/>
        <v>#NUM!</v>
      </c>
      <c r="L64" s="622" t="e">
        <f t="shared" si="7"/>
        <v>#NUM!</v>
      </c>
      <c r="M64" s="622" t="e">
        <f t="shared" si="7"/>
        <v>#NUM!</v>
      </c>
      <c r="N64" s="622" t="e">
        <f t="shared" si="7"/>
        <v>#NUM!</v>
      </c>
      <c r="O64" s="622" t="e">
        <f t="shared" si="7"/>
        <v>#NUM!</v>
      </c>
      <c r="P64" s="625" t="e">
        <f t="shared" si="7"/>
        <v>#NUM!</v>
      </c>
      <c r="Q64" s="618" t="s">
        <v>316</v>
      </c>
    </row>
    <row r="65" spans="1:19" ht="15.75" x14ac:dyDescent="0.2">
      <c r="A65" s="677" t="s">
        <v>313</v>
      </c>
      <c r="B65" s="682">
        <v>18</v>
      </c>
      <c r="C65" s="355">
        <v>21</v>
      </c>
      <c r="D65" s="355">
        <v>25</v>
      </c>
      <c r="E65" s="683">
        <v>27</v>
      </c>
      <c r="F65" s="368">
        <v>80</v>
      </c>
      <c r="G65" s="624" t="e">
        <f t="shared" si="5"/>
        <v>#NUM!</v>
      </c>
      <c r="H65" s="623" t="e">
        <f t="shared" si="8"/>
        <v>#NUM!</v>
      </c>
      <c r="I65" s="622" t="e">
        <f t="shared" si="7"/>
        <v>#NUM!</v>
      </c>
      <c r="J65" s="622" t="e">
        <f t="shared" si="7"/>
        <v>#NUM!</v>
      </c>
      <c r="K65" s="622" t="e">
        <f t="shared" si="7"/>
        <v>#NUM!</v>
      </c>
      <c r="L65" s="622" t="e">
        <f t="shared" si="7"/>
        <v>#NUM!</v>
      </c>
      <c r="M65" s="622" t="e">
        <f t="shared" si="7"/>
        <v>#NUM!</v>
      </c>
      <c r="N65" s="622" t="e">
        <f t="shared" si="7"/>
        <v>#NUM!</v>
      </c>
      <c r="O65" s="622" t="e">
        <f t="shared" si="7"/>
        <v>#NUM!</v>
      </c>
      <c r="P65" s="625" t="e">
        <f t="shared" si="7"/>
        <v>#NUM!</v>
      </c>
      <c r="Q65" s="618" t="s">
        <v>316</v>
      </c>
    </row>
    <row r="66" spans="1:19" ht="15.75" x14ac:dyDescent="0.2">
      <c r="A66" s="677" t="s">
        <v>314</v>
      </c>
      <c r="B66" s="682">
        <v>18</v>
      </c>
      <c r="C66" s="355">
        <v>21</v>
      </c>
      <c r="D66" s="355">
        <v>25</v>
      </c>
      <c r="E66" s="683">
        <v>27</v>
      </c>
      <c r="F66" s="368">
        <v>80</v>
      </c>
      <c r="G66" s="624" t="e">
        <f t="shared" si="5"/>
        <v>#NUM!</v>
      </c>
      <c r="H66" s="623" t="e">
        <f t="shared" si="8"/>
        <v>#NUM!</v>
      </c>
      <c r="I66" s="622" t="e">
        <f t="shared" si="7"/>
        <v>#NUM!</v>
      </c>
      <c r="J66" s="622" t="e">
        <f t="shared" si="7"/>
        <v>#NUM!</v>
      </c>
      <c r="K66" s="622" t="e">
        <f t="shared" si="7"/>
        <v>#NUM!</v>
      </c>
      <c r="L66" s="622" t="e">
        <f t="shared" si="7"/>
        <v>#NUM!</v>
      </c>
      <c r="M66" s="622" t="e">
        <f t="shared" si="7"/>
        <v>#NUM!</v>
      </c>
      <c r="N66" s="622" t="e">
        <f t="shared" si="7"/>
        <v>#NUM!</v>
      </c>
      <c r="O66" s="622" t="e">
        <f t="shared" si="7"/>
        <v>#NUM!</v>
      </c>
      <c r="P66" s="625" t="e">
        <f t="shared" si="7"/>
        <v>#NUM!</v>
      </c>
      <c r="Q66" s="618" t="s">
        <v>316</v>
      </c>
    </row>
    <row r="67" spans="1:19" ht="16.5" thickBot="1" x14ac:dyDescent="0.25">
      <c r="A67" s="678" t="s">
        <v>315</v>
      </c>
      <c r="B67" s="684">
        <v>18</v>
      </c>
      <c r="C67" s="685">
        <v>21</v>
      </c>
      <c r="D67" s="685">
        <v>25</v>
      </c>
      <c r="E67" s="686">
        <v>27</v>
      </c>
      <c r="F67" s="619">
        <v>80</v>
      </c>
      <c r="G67" s="626" t="e">
        <f t="shared" si="5"/>
        <v>#NUM!</v>
      </c>
      <c r="H67" s="627" t="e">
        <f t="shared" si="8"/>
        <v>#NUM!</v>
      </c>
      <c r="I67" s="628" t="e">
        <f t="shared" si="7"/>
        <v>#NUM!</v>
      </c>
      <c r="J67" s="628" t="e">
        <f t="shared" si="7"/>
        <v>#NUM!</v>
      </c>
      <c r="K67" s="628" t="e">
        <f t="shared" si="7"/>
        <v>#NUM!</v>
      </c>
      <c r="L67" s="628" t="e">
        <f t="shared" si="7"/>
        <v>#NUM!</v>
      </c>
      <c r="M67" s="628" t="e">
        <f t="shared" si="7"/>
        <v>#NUM!</v>
      </c>
      <c r="N67" s="628" t="e">
        <f t="shared" si="7"/>
        <v>#NUM!</v>
      </c>
      <c r="O67" s="628" t="e">
        <f t="shared" si="7"/>
        <v>#NUM!</v>
      </c>
      <c r="P67" s="629" t="e">
        <f t="shared" si="7"/>
        <v>#NUM!</v>
      </c>
      <c r="Q67" s="618" t="s">
        <v>316</v>
      </c>
    </row>
    <row r="70" spans="1:19" ht="13.5" thickBot="1" x14ac:dyDescent="0.25"/>
    <row r="71" spans="1:19" ht="15" x14ac:dyDescent="0.25">
      <c r="G71" s="606" t="s">
        <v>278</v>
      </c>
      <c r="H71" s="607"/>
      <c r="I71" s="607"/>
      <c r="J71" s="607"/>
      <c r="K71" s="607"/>
      <c r="L71" s="607"/>
      <c r="M71" s="607"/>
      <c r="N71" s="607"/>
      <c r="O71" s="607"/>
      <c r="P71" s="607"/>
      <c r="Q71" s="607"/>
      <c r="R71" s="845"/>
      <c r="S71" s="846"/>
    </row>
    <row r="72" spans="1:19" ht="13.5" thickBot="1" x14ac:dyDescent="0.25">
      <c r="G72" s="591"/>
      <c r="H72" s="599" t="s">
        <v>275</v>
      </c>
      <c r="I72" s="590">
        <f>IF(KPA!G10&gt;2019,2019-2008,IF(KPA!G10&lt;2009,2009-2007,KPA!G10-2007))</f>
        <v>2</v>
      </c>
      <c r="J72" s="590"/>
      <c r="K72" s="590"/>
      <c r="L72" s="590"/>
      <c r="M72" s="590"/>
      <c r="N72" s="590"/>
      <c r="O72" s="590"/>
      <c r="P72" s="590"/>
      <c r="Q72" s="590"/>
      <c r="R72" s="847"/>
      <c r="S72" s="848"/>
    </row>
    <row r="73" spans="1:19" x14ac:dyDescent="0.2">
      <c r="G73" s="592"/>
      <c r="H73" s="608"/>
      <c r="I73" s="588">
        <v>2009</v>
      </c>
      <c r="J73" s="594">
        <f>I73+1</f>
        <v>2010</v>
      </c>
      <c r="K73" s="594">
        <f t="shared" ref="K73" si="9">J73+1</f>
        <v>2011</v>
      </c>
      <c r="L73" s="594">
        <f t="shared" ref="L73" si="10">K73+1</f>
        <v>2012</v>
      </c>
      <c r="M73" s="594">
        <f t="shared" ref="M73" si="11">L73+1</f>
        <v>2013</v>
      </c>
      <c r="N73" s="594">
        <f t="shared" ref="N73" si="12">M73+1</f>
        <v>2014</v>
      </c>
      <c r="O73" s="594">
        <f t="shared" ref="O73" si="13">N73+1</f>
        <v>2015</v>
      </c>
      <c r="P73" s="594">
        <f t="shared" ref="P73" si="14">O73+1</f>
        <v>2016</v>
      </c>
      <c r="Q73" s="594">
        <f t="shared" ref="Q73" si="15">P73+1</f>
        <v>2017</v>
      </c>
      <c r="R73" s="594">
        <f>Q73+1</f>
        <v>2018</v>
      </c>
      <c r="S73" s="595">
        <f t="shared" ref="S73" si="16">R73+1</f>
        <v>2019</v>
      </c>
    </row>
    <row r="74" spans="1:19" ht="13.5" thickBot="1" x14ac:dyDescent="0.25">
      <c r="G74" s="593"/>
      <c r="H74" s="609">
        <v>1</v>
      </c>
      <c r="I74" s="589">
        <f>H74+1</f>
        <v>2</v>
      </c>
      <c r="J74" s="596">
        <f t="shared" ref="J74" si="17">I74+1</f>
        <v>3</v>
      </c>
      <c r="K74" s="596">
        <f t="shared" ref="K74" si="18">J74+1</f>
        <v>4</v>
      </c>
      <c r="L74" s="596">
        <f t="shared" ref="L74" si="19">K74+1</f>
        <v>5</v>
      </c>
      <c r="M74" s="596">
        <f t="shared" ref="M74" si="20">L74+1</f>
        <v>6</v>
      </c>
      <c r="N74" s="596">
        <f t="shared" ref="N74" si="21">M74+1</f>
        <v>7</v>
      </c>
      <c r="O74" s="596">
        <f t="shared" ref="O74" si="22">N74+1</f>
        <v>8</v>
      </c>
      <c r="P74" s="596">
        <f t="shared" ref="P74" si="23">O74+1</f>
        <v>9</v>
      </c>
      <c r="Q74" s="596">
        <f t="shared" ref="Q74" si="24">P74+1</f>
        <v>10</v>
      </c>
      <c r="R74" s="596">
        <f>Q74+1</f>
        <v>11</v>
      </c>
      <c r="S74" s="597">
        <f t="shared" ref="S74" si="25">R74+1</f>
        <v>12</v>
      </c>
    </row>
    <row r="75" spans="1:19" ht="13.5" thickBot="1" x14ac:dyDescent="0.25">
      <c r="G75" s="593"/>
      <c r="H75" s="602" t="s">
        <v>277</v>
      </c>
      <c r="I75" s="610">
        <v>81.78</v>
      </c>
      <c r="J75" s="611">
        <v>90.76</v>
      </c>
      <c r="K75" s="611">
        <v>90.92</v>
      </c>
      <c r="L75" s="611">
        <v>94.14</v>
      </c>
      <c r="M75" s="611">
        <v>98.61</v>
      </c>
      <c r="N75" s="611">
        <v>106.04</v>
      </c>
      <c r="O75" s="611">
        <v>110.13</v>
      </c>
      <c r="P75" s="611">
        <v>119.38</v>
      </c>
      <c r="Q75" s="611">
        <v>131.25</v>
      </c>
      <c r="R75" s="611">
        <v>137.66999999999999</v>
      </c>
      <c r="S75" s="612">
        <v>142.69999999999999</v>
      </c>
    </row>
    <row r="76" spans="1:19" ht="13.5" thickBot="1" x14ac:dyDescent="0.25">
      <c r="G76" s="593"/>
      <c r="H76" s="598" t="s">
        <v>276</v>
      </c>
      <c r="I76" s="603">
        <v>1</v>
      </c>
      <c r="J76" s="604">
        <f>$I$75/J75</f>
        <v>0.90105773468488315</v>
      </c>
      <c r="K76" s="604">
        <f t="shared" ref="K76:Q76" si="26">$I$75/K75</f>
        <v>0.89947206335239771</v>
      </c>
      <c r="L76" s="604">
        <f t="shared" si="26"/>
        <v>0.86870618228170815</v>
      </c>
      <c r="M76" s="604">
        <f t="shared" si="26"/>
        <v>0.8293276543961059</v>
      </c>
      <c r="N76" s="604">
        <f t="shared" si="26"/>
        <v>0.77121840814786868</v>
      </c>
      <c r="O76" s="604">
        <f t="shared" si="26"/>
        <v>0.74257695450830841</v>
      </c>
      <c r="P76" s="604">
        <f t="shared" si="26"/>
        <v>0.68503937007874016</v>
      </c>
      <c r="Q76" s="604">
        <f t="shared" si="26"/>
        <v>0.62308571428571424</v>
      </c>
      <c r="R76" s="604">
        <f>$I$75/R75</f>
        <v>0.59402920026149497</v>
      </c>
      <c r="S76" s="605">
        <f>$I$75/S75</f>
        <v>0.57309039943938334</v>
      </c>
    </row>
  </sheetData>
  <sheetProtection algorithmName="SHA-512" hashValue="LZ7DfdKUlbm99WBuWLWdOiRVCh6C3uhXufWjzt6zumsAikU+Ktocse8PicieklbQSu9kbjHfWwjDjSmUt3nXsg==" saltValue="TCxwdvE2uRJM+wwMGYNs0w==" spinCount="100000" sheet="1" objects="1" scenarios="1"/>
  <mergeCells count="3">
    <mergeCell ref="A1:E1"/>
    <mergeCell ref="G4:P4"/>
    <mergeCell ref="R71:S72"/>
  </mergeCells>
  <pageMargins left="0.7" right="0.7" top="0.78740157499999996" bottom="0.78740157499999996" header="0.3" footer="0.3"/>
  <pageSetup paperSize="9" orientation="portrait"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KPA</vt:lpstr>
      <vt:lpstr>Fiktives Baujahr</vt:lpstr>
      <vt:lpstr>Verweise zu GAA und BRW und VW</vt:lpstr>
      <vt:lpstr>AfA_Berechnung</vt:lpstr>
      <vt:lpstr>Rechnerische THK-Erläuterung </vt:lpstr>
      <vt:lpstr>SW-NHK</vt:lpstr>
      <vt:lpstr>SW-Bau-Index</vt:lpstr>
      <vt:lpstr>EW-Bewertungsparameter</vt:lpstr>
      <vt:lpstr>AfA_Berechnung!Druckbereich</vt:lpstr>
      <vt:lpstr>'Fiktives Baujahr'!Druckbereich</vt:lpstr>
      <vt:lpstr>KPA!Druckbereich</vt:lpstr>
      <vt:lpstr>'Rechnerische THK-Erläuterung '!Druckbereich</vt:lpstr>
      <vt:lpstr>'Verweise zu GAA und BRW und VW'!Druckbereich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Jardin</dc:creator>
  <cp:lastModifiedBy>Roscher, Michael (IV C 7)</cp:lastModifiedBy>
  <cp:lastPrinted>2021-03-24T09:38:11Z</cp:lastPrinted>
  <dcterms:created xsi:type="dcterms:W3CDTF">2013-04-09T21:15:14Z</dcterms:created>
  <dcterms:modified xsi:type="dcterms:W3CDTF">2021-05-11T08:53:12Z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MF_DOMEA_PROD">
    <vt:lpwstr>B1D8AFE0-70CF-11E9-A4BB-835C0BEBC809</vt:lpwstr>
  </property>
</Properties>
</file>