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Ausgangsdaten" sheetId="1" r:id="rId1"/>
    <sheet name="Prognoserechnung steuerlich" sheetId="2" r:id="rId2"/>
    <sheet name="Liquiditätsrechnung" sheetId="3" r:id="rId3"/>
    <sheet name="Zins-Tilgungsplan" sheetId="4" r:id="rId4"/>
  </sheets>
  <definedNames>
    <definedName name="_xlnm.Print_Area" localSheetId="2">'Liquiditätsrechnung'!$K:$X</definedName>
  </definedNames>
  <calcPr fullCalcOnLoad="1"/>
</workbook>
</file>

<file path=xl/sharedStrings.xml><?xml version="1.0" encoding="utf-8"?>
<sst xmlns="http://schemas.openxmlformats.org/spreadsheetml/2006/main" count="106" uniqueCount="81">
  <si>
    <t>Jahr</t>
  </si>
  <si>
    <t>Vergütung</t>
  </si>
  <si>
    <t>Einnahmen</t>
  </si>
  <si>
    <t>Zählergebühr</t>
  </si>
  <si>
    <t>Betreiberkosten</t>
  </si>
  <si>
    <t>Ausgaben</t>
  </si>
  <si>
    <t>Anschaffungskosten</t>
  </si>
  <si>
    <t>Gesamtkosten</t>
  </si>
  <si>
    <t>Einspeisevergütung</t>
  </si>
  <si>
    <t>je kWh</t>
  </si>
  <si>
    <t>erwartete Strommenge pro Jahr</t>
  </si>
  <si>
    <t>kWh</t>
  </si>
  <si>
    <t>Abschreibungsdauer</t>
  </si>
  <si>
    <t>Jahre</t>
  </si>
  <si>
    <t>Normal-
Abschreibungen</t>
  </si>
  <si>
    <t>Sonder-
abschreibungen</t>
  </si>
  <si>
    <t>Steuerliches
Ergebnis</t>
  </si>
  <si>
    <t>persönl. 
Steuersatz</t>
  </si>
  <si>
    <t>gezahlte Umsatzsteuer</t>
  </si>
  <si>
    <t xml:space="preserve">Steuerliches Ergebnis
</t>
  </si>
  <si>
    <t>Umsatzsteuer 
auf Einnahmen</t>
  </si>
  <si>
    <t>p.a.</t>
  </si>
  <si>
    <t>der Anschaffungskosten</t>
  </si>
  <si>
    <t>Persönlicher Spitzensteuersatz</t>
  </si>
  <si>
    <t>einschließlich KiSt und SoliZ</t>
  </si>
  <si>
    <t>Vorsteuer auf 
Anschaffungs-
kosten und laufende Ausgaben</t>
  </si>
  <si>
    <t>Kreditbetrag</t>
  </si>
  <si>
    <t>Auszahlung</t>
  </si>
  <si>
    <t>Disagio</t>
  </si>
  <si>
    <t>Laufzeit</t>
  </si>
  <si>
    <t>Tilgungsfreie Anlaufjahre</t>
  </si>
  <si>
    <t>Summe Kreditkosten</t>
  </si>
  <si>
    <t>Zinsen, Disagio</t>
  </si>
  <si>
    <t>davon  Disagio</t>
  </si>
  <si>
    <t>ergibt Summe Zinsen lt. Zins-Tilgungsplan KfW</t>
  </si>
  <si>
    <t xml:space="preserve">Fiktive Beispielzahlen! </t>
  </si>
  <si>
    <t>Liquiditätsergebnis</t>
  </si>
  <si>
    <t>Abschrei-bungen</t>
  </si>
  <si>
    <t>Liquidität vor Steuer</t>
  </si>
  <si>
    <t>Liquidität nach Steuer</t>
  </si>
  <si>
    <t>Beispiel mit Förderkredit und guten technischen Daten.</t>
  </si>
  <si>
    <t>Diese Anlage rechnet sich!</t>
  </si>
  <si>
    <t>interner Zinsfuß:</t>
  </si>
  <si>
    <t>Steuerzahlung bzw.
Ersparnis</t>
  </si>
  <si>
    <t>blau = Eingabewerte/Vorgaben</t>
  </si>
  <si>
    <t>bei Inbetriebnahme 2009</t>
  </si>
  <si>
    <t>gelb = Eingabewerte</t>
  </si>
  <si>
    <t>Monate im Jahr der Inbetriebnahme</t>
  </si>
  <si>
    <t>Monate</t>
  </si>
  <si>
    <t>z.B. bei Inbetriebnahme 1. Juli 2009</t>
  </si>
  <si>
    <t>Hier 0 €, da Zähler gekauft und oben in AK enthalten.</t>
  </si>
  <si>
    <t>z.B. für Steuerberatung, Versicherung, Reparatur, Wartung)</t>
  </si>
  <si>
    <t>Kredit KfW Programm 270 gem. gesonderter Berechnung:</t>
  </si>
  <si>
    <t>Zins</t>
  </si>
  <si>
    <t>Quartal</t>
  </si>
  <si>
    <t>Tilgung</t>
  </si>
  <si>
    <t>Zinsen</t>
  </si>
  <si>
    <t>Rate</t>
  </si>
  <si>
    <t>Restschuld</t>
  </si>
  <si>
    <t>Summen</t>
  </si>
  <si>
    <t>Gesamt-summe</t>
  </si>
  <si>
    <t>Tilgungen und Eigenkapital</t>
  </si>
  <si>
    <t>Wenn ich</t>
  </si>
  <si>
    <t>zu</t>
  </si>
  <si>
    <t>für</t>
  </si>
  <si>
    <t>anlege habe ich dann</t>
  </si>
  <si>
    <t>ZZr</t>
  </si>
  <si>
    <t>Wenn ich in die Solaranlage investiere und die Überschüsse wieder anlegen kann, habe ich am Ende:</t>
  </si>
  <si>
    <t>bei einem Zins von:</t>
  </si>
  <si>
    <t>plus laufende Überschüsse= gesamt</t>
  </si>
  <si>
    <t>Jahres-Endwert nach Zinsen</t>
  </si>
  <si>
    <t>bei:</t>
  </si>
  <si>
    <t>Zins Vergleichsanlage</t>
  </si>
  <si>
    <t xml:space="preserve">Zins Kreditaufnahme </t>
  </si>
  <si>
    <t>(Annahme: Die Wiederanlagezinsen sind jeweils der Wert nach Abgeltungsteuer.)</t>
  </si>
  <si>
    <t>MwSt.</t>
  </si>
  <si>
    <t>Summe Zinsen KfW</t>
  </si>
  <si>
    <t>Normal-
abschreibungen</t>
  </si>
  <si>
    <t>Gezahlte Umsatzsteuer</t>
  </si>
  <si>
    <t>Persönl. 
Steuersatz</t>
  </si>
  <si>
    <t>Tipps zur Erstellung des Zins-Tilgungsplans: Sie können den Tilgungsrechner auf der Seite www.kfw.de benutzen. Da der Rechner nur bis zum Ende der Zinsbindung rechnet, geben Sie die volle Laufzeit als Zinsbindung ein (ggfs. können Sie dann nach Auslaufen einen neuen Zinssatz eingeben). Das fertige Ergebnis dann markieren und in Ihre Excel-Tabelle einfügen. Leider rechnet der Rechner nur für volle Jahre, d.h. Sie müssen selbst auf Kalenderjahre umrechnen und dann die Verknüpfungen zu Ihrer Berechnungstabelle herstellen.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</si>
</sst>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1];[Red]\-#,##0.00\ [$€-1]"/>
    <numFmt numFmtId="173" formatCode="#,##0.0\ [$€-1];[Red]\-#,##0.0\ [$€-1]"/>
    <numFmt numFmtId="174" formatCode="#,##0.000\ [$€-1];[Red]\-#,##0.000\ [$€-1]"/>
    <numFmt numFmtId="175" formatCode="#,##0.0000\ [$€-1];[Red]\-#,##0.0000\ [$€-1]"/>
    <numFmt numFmtId="176" formatCode="#,##0\ [$€-1];[Red]\-#,##0\ [$€-1]"/>
    <numFmt numFmtId="177" formatCode="&quot;Ja&quot;;&quot;Ja&quot;;&quot;Nein&quot;"/>
    <numFmt numFmtId="178" formatCode="&quot;Wahr&quot;;&quot;Wahr&quot;;&quot;Falsch&quot;"/>
    <numFmt numFmtId="179" formatCode="&quot;Ein&quot;;&quot;Ein&quot;;&quot;Aus&quot;"/>
    <numFmt numFmtId="180" formatCode="[$€-2]\ #,##0.00_);[Red]\([$€-2]\ #,##0.00\)"/>
  </numFmts>
  <fonts count="9">
    <font>
      <sz val="10"/>
      <name val="Arial"/>
      <family val="0"/>
    </font>
    <font>
      <b/>
      <sz val="16"/>
      <name val="Arial"/>
      <family val="2"/>
    </font>
    <font>
      <b/>
      <sz val="10"/>
      <name val="Arial"/>
      <family val="2"/>
    </font>
    <font>
      <sz val="8"/>
      <name val="Arial"/>
      <family val="0"/>
    </font>
    <font>
      <i/>
      <sz val="10"/>
      <name val="Arial"/>
      <family val="2"/>
    </font>
    <font>
      <b/>
      <sz val="10"/>
      <color indexed="8"/>
      <name val="Arial"/>
      <family val="2"/>
    </font>
    <font>
      <sz val="10"/>
      <color indexed="8"/>
      <name val="Arial"/>
      <family val="2"/>
    </font>
    <font>
      <b/>
      <sz val="8"/>
      <color indexed="8"/>
      <name val="Arial"/>
      <family val="2"/>
    </font>
    <font>
      <sz val="9"/>
      <name val="Arial"/>
      <family val="0"/>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9"/>
        <bgColor indexed="64"/>
      </patternFill>
    </fill>
    <fill>
      <patternFill patternType="solid">
        <fgColor indexed="51"/>
        <bgColor indexed="64"/>
      </patternFill>
    </fill>
    <fill>
      <patternFill patternType="solid">
        <fgColor indexed="41"/>
        <bgColor indexed="64"/>
      </patternFill>
    </fill>
  </fills>
  <borders count="53">
    <border>
      <left/>
      <right/>
      <top/>
      <bottom/>
      <diagonal/>
    </border>
    <border>
      <left style="medium"/>
      <right>
        <color indexed="63"/>
      </right>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medium"/>
      <top>
        <color indexed="63"/>
      </top>
      <bottom style="mediu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thin"/>
      <right>
        <color indexed="63"/>
      </right>
      <top style="thin"/>
      <bottom>
        <color indexed="63"/>
      </bottom>
    </border>
    <border>
      <left style="thin"/>
      <right style="thin"/>
      <top style="thin"/>
      <bottom>
        <color indexed="63"/>
      </bottom>
    </border>
    <border>
      <left style="medium"/>
      <right>
        <color indexed="63"/>
      </right>
      <top style="thin"/>
      <bottom>
        <color indexed="63"/>
      </bottom>
    </border>
    <border>
      <left style="thin"/>
      <right style="medium"/>
      <top style="thin"/>
      <bottom>
        <color indexed="63"/>
      </bottom>
    </border>
    <border>
      <left style="medium"/>
      <right style="medium"/>
      <top>
        <color indexed="63"/>
      </top>
      <bottom style="medium"/>
    </border>
    <border>
      <left>
        <color indexed="63"/>
      </left>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medium"/>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color indexed="63"/>
      </bottom>
    </border>
    <border>
      <left style="medium"/>
      <right style="thin"/>
      <top style="thin"/>
      <bottom style="medium"/>
    </border>
    <border>
      <left style="medium"/>
      <right style="medium"/>
      <top style="medium"/>
      <bottom style="mediu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style="thin"/>
    </border>
    <border>
      <left style="medium"/>
      <right style="thin"/>
      <top>
        <color indexed="63"/>
      </top>
      <bottom style="thin"/>
    </border>
    <border>
      <left style="thin"/>
      <right style="medium"/>
      <top style="medium"/>
      <bottom>
        <color indexed="63"/>
      </bottom>
    </border>
    <border>
      <left style="thin"/>
      <right style="medium"/>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color indexed="63"/>
      </left>
      <right style="thin"/>
      <top>
        <color indexed="63"/>
      </top>
      <bottom style="thin"/>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4">
    <xf numFmtId="0" fontId="0" fillId="0" borderId="0" xfId="0" applyAlignment="1">
      <alignment/>
    </xf>
    <xf numFmtId="0" fontId="1" fillId="0" borderId="0" xfId="0" applyFont="1" applyAlignment="1">
      <alignment/>
    </xf>
    <xf numFmtId="0" fontId="0" fillId="0" borderId="0" xfId="0" applyBorder="1" applyAlignment="1">
      <alignment/>
    </xf>
    <xf numFmtId="172" fontId="0" fillId="0" borderId="0" xfId="0" applyNumberFormat="1" applyAlignment="1">
      <alignment/>
    </xf>
    <xf numFmtId="9" fontId="0" fillId="0" borderId="0" xfId="0" applyNumberFormat="1" applyAlignment="1">
      <alignment/>
    </xf>
    <xf numFmtId="175" fontId="0" fillId="0" borderId="0" xfId="0" applyNumberFormat="1" applyAlignment="1">
      <alignment/>
    </xf>
    <xf numFmtId="4" fontId="0" fillId="0" borderId="1" xfId="0" applyNumberFormat="1" applyBorder="1" applyAlignment="1">
      <alignment/>
    </xf>
    <xf numFmtId="4" fontId="0" fillId="0" borderId="2" xfId="0" applyNumberFormat="1" applyBorder="1" applyAlignment="1">
      <alignment/>
    </xf>
    <xf numFmtId="4" fontId="0" fillId="0" borderId="3" xfId="0" applyNumberFormat="1" applyBorder="1" applyAlignment="1">
      <alignment/>
    </xf>
    <xf numFmtId="4" fontId="0" fillId="0" borderId="0" xfId="0" applyNumberFormat="1" applyBorder="1" applyAlignment="1">
      <alignment/>
    </xf>
    <xf numFmtId="4" fontId="0" fillId="0" borderId="4" xfId="0" applyNumberFormat="1" applyBorder="1" applyAlignment="1">
      <alignment/>
    </xf>
    <xf numFmtId="4" fontId="0" fillId="0" borderId="5" xfId="0" applyNumberFormat="1" applyBorder="1" applyAlignment="1">
      <alignment/>
    </xf>
    <xf numFmtId="4" fontId="0" fillId="0" borderId="6" xfId="0" applyNumberFormat="1" applyBorder="1" applyAlignment="1">
      <alignment/>
    </xf>
    <xf numFmtId="4" fontId="0" fillId="0" borderId="7" xfId="0" applyNumberFormat="1" applyBorder="1" applyAlignment="1">
      <alignment/>
    </xf>
    <xf numFmtId="4" fontId="0" fillId="0" borderId="8" xfId="0" applyNumberFormat="1" applyBorder="1" applyAlignment="1">
      <alignment/>
    </xf>
    <xf numFmtId="4" fontId="0" fillId="0" borderId="9" xfId="0" applyNumberFormat="1" applyBorder="1" applyAlignment="1">
      <alignment/>
    </xf>
    <xf numFmtId="4" fontId="0" fillId="0" borderId="10" xfId="0" applyNumberFormat="1" applyBorder="1" applyAlignment="1">
      <alignment/>
    </xf>
    <xf numFmtId="4" fontId="0" fillId="0" borderId="11" xfId="0" applyNumberFormat="1" applyBorder="1" applyAlignment="1">
      <alignment/>
    </xf>
    <xf numFmtId="176" fontId="0" fillId="0" borderId="0" xfId="0" applyNumberFormat="1" applyAlignment="1">
      <alignment/>
    </xf>
    <xf numFmtId="1" fontId="0" fillId="0" borderId="12" xfId="0" applyNumberFormat="1" applyBorder="1" applyAlignment="1">
      <alignment/>
    </xf>
    <xf numFmtId="4" fontId="0" fillId="0" borderId="13" xfId="0" applyNumberFormat="1" applyBorder="1" applyAlignment="1">
      <alignment/>
    </xf>
    <xf numFmtId="4" fontId="0" fillId="0" borderId="14" xfId="0" applyNumberFormat="1" applyBorder="1" applyAlignment="1">
      <alignment/>
    </xf>
    <xf numFmtId="4" fontId="0" fillId="0" borderId="15" xfId="0" applyNumberFormat="1" applyBorder="1" applyAlignment="1">
      <alignment/>
    </xf>
    <xf numFmtId="4" fontId="0" fillId="0" borderId="16" xfId="0" applyNumberFormat="1" applyBorder="1" applyAlignment="1">
      <alignment/>
    </xf>
    <xf numFmtId="1" fontId="0" fillId="0" borderId="17" xfId="0" applyNumberFormat="1" applyBorder="1" applyAlignment="1">
      <alignment/>
    </xf>
    <xf numFmtId="10" fontId="0" fillId="0" borderId="14" xfId="0" applyNumberFormat="1" applyBorder="1" applyAlignment="1">
      <alignment/>
    </xf>
    <xf numFmtId="10" fontId="0" fillId="0" borderId="3" xfId="0" applyNumberFormat="1" applyBorder="1" applyAlignment="1">
      <alignment/>
    </xf>
    <xf numFmtId="10" fontId="0" fillId="0" borderId="8" xfId="0" applyNumberFormat="1" applyBorder="1" applyAlignment="1">
      <alignment/>
    </xf>
    <xf numFmtId="4" fontId="0" fillId="0" borderId="0" xfId="0" applyNumberFormat="1" applyAlignment="1">
      <alignment/>
    </xf>
    <xf numFmtId="4" fontId="0" fillId="0" borderId="18" xfId="0" applyNumberFormat="1" applyBorder="1" applyAlignment="1">
      <alignment/>
    </xf>
    <xf numFmtId="4" fontId="0" fillId="0" borderId="19" xfId="0" applyNumberFormat="1" applyBorder="1" applyAlignment="1">
      <alignment/>
    </xf>
    <xf numFmtId="4" fontId="0" fillId="0" borderId="20" xfId="0" applyNumberFormat="1" applyBorder="1" applyAlignment="1">
      <alignment/>
    </xf>
    <xf numFmtId="4" fontId="0" fillId="0" borderId="21" xfId="0" applyNumberFormat="1" applyBorder="1" applyAlignment="1">
      <alignment/>
    </xf>
    <xf numFmtId="4" fontId="0" fillId="0" borderId="22" xfId="0" applyNumberFormat="1" applyBorder="1" applyAlignment="1">
      <alignment/>
    </xf>
    <xf numFmtId="4" fontId="0" fillId="0" borderId="23" xfId="0" applyNumberFormat="1" applyBorder="1" applyAlignment="1">
      <alignment/>
    </xf>
    <xf numFmtId="4" fontId="0" fillId="0" borderId="24" xfId="0" applyNumberFormat="1" applyBorder="1" applyAlignment="1">
      <alignment/>
    </xf>
    <xf numFmtId="4" fontId="0" fillId="0" borderId="25" xfId="0" applyNumberFormat="1" applyBorder="1" applyAlignment="1">
      <alignment/>
    </xf>
    <xf numFmtId="0" fontId="2" fillId="0" borderId="0" xfId="0" applyFont="1" applyAlignment="1">
      <alignment/>
    </xf>
    <xf numFmtId="4" fontId="0" fillId="2" borderId="0" xfId="0" applyNumberFormat="1" applyFill="1" applyAlignment="1">
      <alignment/>
    </xf>
    <xf numFmtId="10" fontId="0" fillId="0" borderId="0" xfId="0" applyNumberFormat="1" applyAlignment="1">
      <alignment/>
    </xf>
    <xf numFmtId="176" fontId="0" fillId="3" borderId="0" xfId="0" applyNumberFormat="1" applyFill="1" applyAlignment="1">
      <alignment/>
    </xf>
    <xf numFmtId="0" fontId="0" fillId="3" borderId="0" xfId="0" applyFill="1" applyAlignment="1">
      <alignment/>
    </xf>
    <xf numFmtId="176" fontId="0" fillId="2" borderId="0" xfId="0" applyNumberFormat="1" applyFill="1" applyAlignment="1">
      <alignment/>
    </xf>
    <xf numFmtId="0" fontId="0" fillId="2" borderId="0" xfId="0" applyFill="1" applyAlignment="1">
      <alignment/>
    </xf>
    <xf numFmtId="0" fontId="0" fillId="0" borderId="0" xfId="0" applyFont="1" applyAlignment="1">
      <alignment/>
    </xf>
    <xf numFmtId="0" fontId="6" fillId="4" borderId="26" xfId="0" applyFont="1" applyFill="1" applyBorder="1" applyAlignment="1">
      <alignment horizontal="center" wrapText="1"/>
    </xf>
    <xf numFmtId="0" fontId="6" fillId="4" borderId="27" xfId="0" applyFont="1" applyFill="1" applyBorder="1" applyAlignment="1">
      <alignment horizontal="right" wrapText="1"/>
    </xf>
    <xf numFmtId="4" fontId="6" fillId="4" borderId="27" xfId="0" applyNumberFormat="1" applyFont="1" applyFill="1" applyBorder="1" applyAlignment="1">
      <alignment horizontal="right" wrapText="1"/>
    </xf>
    <xf numFmtId="4" fontId="0" fillId="0" borderId="0" xfId="0" applyNumberFormat="1" applyFont="1" applyAlignment="1">
      <alignment/>
    </xf>
    <xf numFmtId="14" fontId="0" fillId="0" borderId="0" xfId="0" applyNumberFormat="1" applyFont="1" applyAlignment="1">
      <alignment/>
    </xf>
    <xf numFmtId="0" fontId="5" fillId="4" borderId="0" xfId="0" applyFont="1" applyFill="1" applyAlignment="1">
      <alignment horizontal="center" vertical="center" wrapText="1"/>
    </xf>
    <xf numFmtId="4" fontId="5" fillId="4" borderId="0" xfId="0" applyNumberFormat="1" applyFont="1" applyFill="1" applyAlignment="1">
      <alignment horizontal="right" vertical="center" wrapText="1"/>
    </xf>
    <xf numFmtId="0" fontId="5" fillId="4" borderId="0" xfId="0" applyFont="1" applyFill="1" applyAlignment="1">
      <alignment horizontal="right" vertical="center" wrapText="1"/>
    </xf>
    <xf numFmtId="0" fontId="7" fillId="4" borderId="28"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7" fillId="4" borderId="30" xfId="0" applyFont="1" applyFill="1" applyBorder="1" applyAlignment="1">
      <alignment horizontal="center" vertical="center" wrapText="1"/>
    </xf>
    <xf numFmtId="4" fontId="0" fillId="0" borderId="31" xfId="0" applyNumberFormat="1" applyBorder="1" applyAlignment="1">
      <alignment/>
    </xf>
    <xf numFmtId="167" fontId="0" fillId="0" borderId="0" xfId="0" applyNumberFormat="1" applyAlignment="1">
      <alignment/>
    </xf>
    <xf numFmtId="4" fontId="0" fillId="0" borderId="0" xfId="0" applyNumberFormat="1" applyFill="1" applyAlignment="1">
      <alignment/>
    </xf>
    <xf numFmtId="0" fontId="0" fillId="0" borderId="0" xfId="0" applyFill="1" applyAlignment="1">
      <alignment/>
    </xf>
    <xf numFmtId="0" fontId="0" fillId="0" borderId="0" xfId="0" applyBorder="1" applyAlignment="1">
      <alignment horizontal="center" vertical="center"/>
    </xf>
    <xf numFmtId="1" fontId="0" fillId="0" borderId="0" xfId="0" applyNumberFormat="1" applyBorder="1" applyAlignment="1">
      <alignment/>
    </xf>
    <xf numFmtId="0" fontId="0" fillId="0" borderId="0" xfId="0" applyAlignment="1">
      <alignment wrapText="1"/>
    </xf>
    <xf numFmtId="4" fontId="0" fillId="5" borderId="32" xfId="0" applyNumberFormat="1" applyFill="1" applyBorder="1" applyAlignment="1">
      <alignment/>
    </xf>
    <xf numFmtId="176" fontId="0" fillId="5" borderId="32" xfId="0" applyNumberFormat="1" applyFill="1" applyBorder="1" applyAlignment="1">
      <alignment/>
    </xf>
    <xf numFmtId="0" fontId="0" fillId="0" borderId="0" xfId="0" applyAlignment="1">
      <alignment horizontal="right"/>
    </xf>
    <xf numFmtId="0" fontId="0" fillId="0" borderId="0" xfId="0" applyAlignment="1">
      <alignment vertical="top"/>
    </xf>
    <xf numFmtId="9" fontId="0" fillId="0" borderId="0" xfId="0" applyNumberFormat="1" applyAlignment="1">
      <alignment vertical="top"/>
    </xf>
    <xf numFmtId="0" fontId="3" fillId="0" borderId="0" xfId="0" applyFont="1" applyAlignment="1">
      <alignment/>
    </xf>
    <xf numFmtId="0" fontId="0" fillId="0" borderId="25" xfId="0"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9"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xf>
    <xf numFmtId="0" fontId="0" fillId="0" borderId="42" xfId="0" applyBorder="1" applyAlignment="1">
      <alignment horizontal="center"/>
    </xf>
    <xf numFmtId="0" fontId="1" fillId="0" borderId="0" xfId="0" applyFont="1" applyAlignment="1">
      <alignment wrapText="1"/>
    </xf>
    <xf numFmtId="0" fontId="0" fillId="0" borderId="43" xfId="0" applyBorder="1" applyAlignment="1">
      <alignment horizontal="center" vertical="top" wrapText="1"/>
    </xf>
    <xf numFmtId="0" fontId="0" fillId="0" borderId="44" xfId="0" applyBorder="1" applyAlignment="1">
      <alignment horizontal="center" vertical="top"/>
    </xf>
    <xf numFmtId="0" fontId="0" fillId="0" borderId="18" xfId="0" applyBorder="1" applyAlignment="1">
      <alignment horizontal="center" vertical="top"/>
    </xf>
    <xf numFmtId="0" fontId="0" fillId="0" borderId="43" xfId="0" applyBorder="1" applyAlignment="1">
      <alignment horizontal="center"/>
    </xf>
    <xf numFmtId="0" fontId="0" fillId="0" borderId="44" xfId="0" applyBorder="1" applyAlignment="1">
      <alignment horizontal="center"/>
    </xf>
    <xf numFmtId="0" fontId="0" fillId="0" borderId="44" xfId="0" applyBorder="1" applyAlignment="1">
      <alignment/>
    </xf>
    <xf numFmtId="0" fontId="0" fillId="0" borderId="18" xfId="0" applyBorder="1" applyAlignment="1">
      <alignment/>
    </xf>
    <xf numFmtId="0" fontId="0" fillId="0" borderId="45" xfId="0"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5" xfId="0" applyBorder="1" applyAlignment="1">
      <alignment horizontal="center" vertical="center"/>
    </xf>
    <xf numFmtId="0" fontId="0" fillId="0" borderId="49" xfId="0" applyBorder="1" applyAlignment="1">
      <alignment horizontal="center" vertical="center" wrapText="1"/>
    </xf>
    <xf numFmtId="0" fontId="0" fillId="0" borderId="50" xfId="0" applyBorder="1" applyAlignment="1">
      <alignment horizontal="center" vertical="center"/>
    </xf>
    <xf numFmtId="0" fontId="0" fillId="0" borderId="22" xfId="0" applyFill="1" applyBorder="1" applyAlignment="1">
      <alignment horizontal="center" vertical="center" wrapText="1"/>
    </xf>
    <xf numFmtId="0" fontId="0" fillId="0" borderId="51" xfId="0" applyBorder="1" applyAlignment="1">
      <alignment horizontal="center" vertical="center"/>
    </xf>
    <xf numFmtId="0" fontId="0" fillId="0" borderId="39" xfId="0" applyFill="1" applyBorder="1" applyAlignment="1">
      <alignment horizontal="center" vertical="center" wrapText="1"/>
    </xf>
    <xf numFmtId="0" fontId="8" fillId="0" borderId="0" xfId="0" applyFont="1" applyAlignment="1">
      <alignment horizontal="left" wrapText="1"/>
    </xf>
    <xf numFmtId="0" fontId="0" fillId="0" borderId="2" xfId="0" applyBorder="1" applyAlignment="1">
      <alignment horizontal="center" vertical="center"/>
    </xf>
    <xf numFmtId="0" fontId="0" fillId="0" borderId="52" xfId="0" applyBorder="1" applyAlignment="1">
      <alignment horizontal="center"/>
    </xf>
    <xf numFmtId="0" fontId="6" fillId="0" borderId="0" xfId="0" applyFont="1" applyAlignment="1">
      <alignment wrapText="1"/>
    </xf>
    <xf numFmtId="0" fontId="4" fillId="6" borderId="0" xfId="0" applyFont="1" applyFill="1" applyAlignment="1">
      <alignment horizontal="center"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G36"/>
  <sheetViews>
    <sheetView tabSelected="1" workbookViewId="0" topLeftCell="A1">
      <selection activeCell="A2" sqref="A2"/>
    </sheetView>
  </sheetViews>
  <sheetFormatPr defaultColWidth="11.421875" defaultRowHeight="12.75"/>
  <cols>
    <col min="2" max="2" width="18.7109375" style="0" customWidth="1"/>
  </cols>
  <sheetData>
    <row r="2" spans="1:5" ht="12.75">
      <c r="A2" t="s">
        <v>6</v>
      </c>
      <c r="C2" s="42">
        <v>22567</v>
      </c>
      <c r="E2" s="43" t="s">
        <v>46</v>
      </c>
    </row>
    <row r="3" spans="1:5" ht="12.75">
      <c r="A3" t="s">
        <v>75</v>
      </c>
      <c r="B3" s="4">
        <v>0.19</v>
      </c>
      <c r="C3" s="40">
        <f>B3*C2</f>
        <v>4287.7300000000005</v>
      </c>
      <c r="E3" s="41" t="s">
        <v>44</v>
      </c>
    </row>
    <row r="4" spans="1:3" ht="12.75">
      <c r="A4" t="s">
        <v>7</v>
      </c>
      <c r="C4" s="40">
        <f>SUM(C2:C3)</f>
        <v>26854.73</v>
      </c>
    </row>
    <row r="7" spans="1:5" ht="12.75">
      <c r="A7" t="s">
        <v>8</v>
      </c>
      <c r="C7" s="5">
        <v>0.4301</v>
      </c>
      <c r="D7" t="s">
        <v>9</v>
      </c>
      <c r="E7" t="s">
        <v>45</v>
      </c>
    </row>
    <row r="8" ht="12.75">
      <c r="C8" s="3"/>
    </row>
    <row r="9" spans="1:4" ht="12.75">
      <c r="A9" t="s">
        <v>10</v>
      </c>
      <c r="C9">
        <v>5525</v>
      </c>
      <c r="D9" t="s">
        <v>11</v>
      </c>
    </row>
    <row r="11" spans="1:4" ht="12.75">
      <c r="A11" t="s">
        <v>12</v>
      </c>
      <c r="C11">
        <v>20</v>
      </c>
      <c r="D11" t="s">
        <v>13</v>
      </c>
    </row>
    <row r="12" spans="1:5" ht="12.75">
      <c r="A12" t="s">
        <v>47</v>
      </c>
      <c r="C12">
        <v>6</v>
      </c>
      <c r="D12" t="s">
        <v>48</v>
      </c>
      <c r="E12" t="s">
        <v>49</v>
      </c>
    </row>
    <row r="14" spans="1:5" ht="12.75">
      <c r="A14" t="s">
        <v>3</v>
      </c>
      <c r="C14" s="18">
        <v>0</v>
      </c>
      <c r="D14" t="s">
        <v>21</v>
      </c>
      <c r="E14" t="s">
        <v>50</v>
      </c>
    </row>
    <row r="16" spans="1:6" ht="12.75">
      <c r="A16" t="s">
        <v>4</v>
      </c>
      <c r="C16" s="4">
        <v>0.02</v>
      </c>
      <c r="D16" t="s">
        <v>22</v>
      </c>
      <c r="F16" t="s">
        <v>51</v>
      </c>
    </row>
    <row r="18" ht="12.75">
      <c r="A18" t="s">
        <v>23</v>
      </c>
    </row>
    <row r="19" spans="1:3" ht="12.75">
      <c r="A19" t="s">
        <v>24</v>
      </c>
      <c r="C19" s="4">
        <v>0.45</v>
      </c>
    </row>
    <row r="22" ht="12.75">
      <c r="A22" t="s">
        <v>52</v>
      </c>
    </row>
    <row r="24" spans="1:4" ht="12.75">
      <c r="A24" t="s">
        <v>26</v>
      </c>
      <c r="D24" s="18">
        <v>21156</v>
      </c>
    </row>
    <row r="25" spans="1:4" ht="12.75">
      <c r="A25" t="s">
        <v>27</v>
      </c>
      <c r="C25" s="4">
        <v>0.96</v>
      </c>
      <c r="D25" s="18">
        <f>D24*C25</f>
        <v>20309.76</v>
      </c>
    </row>
    <row r="26" spans="1:4" ht="12.75">
      <c r="A26" t="s">
        <v>28</v>
      </c>
      <c r="C26" s="4">
        <v>0.04</v>
      </c>
      <c r="D26" s="18">
        <f>D24*C26</f>
        <v>846.24</v>
      </c>
    </row>
    <row r="28" spans="1:4" ht="12.75">
      <c r="A28" t="s">
        <v>29</v>
      </c>
      <c r="C28">
        <v>20</v>
      </c>
      <c r="D28" t="s">
        <v>13</v>
      </c>
    </row>
    <row r="29" spans="1:4" ht="12.75">
      <c r="A29" t="s">
        <v>30</v>
      </c>
      <c r="C29">
        <v>3</v>
      </c>
      <c r="D29" t="s">
        <v>13</v>
      </c>
    </row>
    <row r="30" spans="1:3" ht="12.75">
      <c r="A30" t="s">
        <v>53</v>
      </c>
      <c r="C30" s="39">
        <v>0.037</v>
      </c>
    </row>
    <row r="32" ht="12.75">
      <c r="A32" t="s">
        <v>35</v>
      </c>
    </row>
    <row r="35" spans="1:7" ht="33" customHeight="1">
      <c r="A35" s="37" t="s">
        <v>40</v>
      </c>
      <c r="B35" s="37"/>
      <c r="C35" s="37"/>
      <c r="D35" s="37"/>
      <c r="E35" s="37"/>
      <c r="F35" s="37"/>
      <c r="G35" s="37"/>
    </row>
    <row r="36" spans="1:7" ht="12.75">
      <c r="A36" s="37"/>
      <c r="B36" s="37"/>
      <c r="C36" s="37"/>
      <c r="D36" s="37"/>
      <c r="E36" s="37"/>
      <c r="F36" s="37"/>
      <c r="G36" s="37"/>
    </row>
  </sheetData>
  <printOptions/>
  <pageMargins left="0.75" right="0.75" top="1" bottom="1" header="0.4921259845" footer="0.4921259845"/>
  <pageSetup fitToHeight="1" fitToWidth="1" horizontalDpi="600" verticalDpi="600" orientation="landscape" paperSize="9" r:id="rId1"/>
  <headerFooter alignWithMargins="0">
    <oddHeader>&amp;LWirtschaftlichkeitsrechnung
Photovoltaikanlage&amp;C&amp;A</oddHeader>
    <oddFooter>&amp;L&amp;9(c) Deubner Verlag Köln 
Steuerberater-BWL-Assistent
November 2009&amp;R&amp;9Seite &amp;P von&amp;N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31"/>
  <sheetViews>
    <sheetView workbookViewId="0" topLeftCell="A1">
      <selection activeCell="B4" sqref="B4:B5"/>
    </sheetView>
  </sheetViews>
  <sheetFormatPr defaultColWidth="11.421875" defaultRowHeight="12.75"/>
  <cols>
    <col min="1" max="1" width="5.28125" style="0" customWidth="1"/>
    <col min="2" max="2" width="10.140625" style="0" customWidth="1"/>
    <col min="3" max="3" width="12.28125" style="0" customWidth="1"/>
    <col min="4" max="4" width="9.421875" style="0" customWidth="1"/>
    <col min="5" max="5" width="15.00390625" style="0" customWidth="1"/>
    <col min="6" max="6" width="14.00390625" style="0" customWidth="1"/>
    <col min="8" max="8" width="17.57421875" style="0" customWidth="1"/>
    <col min="9" max="9" width="21.00390625" style="0" customWidth="1"/>
    <col min="10" max="10" width="19.8515625" style="0" customWidth="1"/>
    <col min="11" max="11" width="11.8515625" style="0" customWidth="1"/>
    <col min="12" max="12" width="9.8515625" style="0" customWidth="1"/>
    <col min="13" max="13" width="17.57421875" style="0" customWidth="1"/>
  </cols>
  <sheetData>
    <row r="1" spans="1:5" ht="20.25">
      <c r="A1" s="1"/>
      <c r="E1" s="1"/>
    </row>
    <row r="2" ht="13.5" thickBot="1"/>
    <row r="3" spans="2:13" ht="13.5" thickBot="1">
      <c r="B3" s="79" t="s">
        <v>2</v>
      </c>
      <c r="C3" s="80"/>
      <c r="D3" s="85" t="s">
        <v>5</v>
      </c>
      <c r="E3" s="86"/>
      <c r="F3" s="86"/>
      <c r="G3" s="86"/>
      <c r="H3" s="87"/>
      <c r="I3" s="87"/>
      <c r="J3" s="88"/>
      <c r="K3" s="82" t="s">
        <v>19</v>
      </c>
      <c r="L3" s="83"/>
      <c r="M3" s="84"/>
    </row>
    <row r="4" spans="1:13" ht="39.75" customHeight="1">
      <c r="A4" s="73" t="s">
        <v>0</v>
      </c>
      <c r="B4" s="75" t="s">
        <v>1</v>
      </c>
      <c r="C4" s="77" t="s">
        <v>20</v>
      </c>
      <c r="D4" s="77" t="s">
        <v>32</v>
      </c>
      <c r="E4" s="69" t="s">
        <v>14</v>
      </c>
      <c r="F4" s="69" t="s">
        <v>15</v>
      </c>
      <c r="G4" s="71" t="s">
        <v>3</v>
      </c>
      <c r="H4" s="93" t="s">
        <v>4</v>
      </c>
      <c r="I4" s="89" t="s">
        <v>25</v>
      </c>
      <c r="J4" s="91" t="s">
        <v>18</v>
      </c>
      <c r="K4" s="94" t="s">
        <v>16</v>
      </c>
      <c r="L4" s="96" t="s">
        <v>17</v>
      </c>
      <c r="M4" s="98" t="s">
        <v>43</v>
      </c>
    </row>
    <row r="5" spans="1:13" ht="12.75">
      <c r="A5" s="74"/>
      <c r="B5" s="76"/>
      <c r="C5" s="78"/>
      <c r="D5" s="78"/>
      <c r="E5" s="70"/>
      <c r="F5" s="70"/>
      <c r="G5" s="72"/>
      <c r="H5" s="90"/>
      <c r="I5" s="90"/>
      <c r="J5" s="92"/>
      <c r="K5" s="95"/>
      <c r="L5" s="97"/>
      <c r="M5" s="78"/>
    </row>
    <row r="6" spans="1:13" ht="12.75">
      <c r="A6" s="19">
        <v>0</v>
      </c>
      <c r="B6" s="22">
        <f>Ausgangsdaten!$C$7*Ausgangsdaten!$C$9*Ausgangsdaten!C12/12</f>
        <v>1188.15125</v>
      </c>
      <c r="C6" s="23">
        <f>'Prognoserechnung steuerlich'!B6*Ausgangsdaten!$B$3</f>
        <v>225.74873749999998</v>
      </c>
      <c r="D6" s="6">
        <f>'Zins-Tilgungsplan'!G5+Ausgangsdaten!D26</f>
        <v>1237.62</v>
      </c>
      <c r="E6" s="8">
        <f>Ausgangsdaten!$C$2/Ausgangsdaten!$C$11*Ausgangsdaten!C12/12</f>
        <v>564.175</v>
      </c>
      <c r="F6" s="9"/>
      <c r="G6" s="20">
        <f>Ausgangsdaten!$C$14</f>
        <v>0</v>
      </c>
      <c r="H6" s="10">
        <f>Ausgangsdaten!$C$2*Ausgangsdaten!$C$16*Ausgangsdaten!C12/12</f>
        <v>225.67</v>
      </c>
      <c r="I6" s="21">
        <f>H6*0.15+Ausgangsdaten!C3</f>
        <v>4321.5805</v>
      </c>
      <c r="J6" s="11">
        <f aca="true" t="shared" si="0" ref="J6:J26">C6-I6</f>
        <v>-4095.8317625</v>
      </c>
      <c r="K6" s="6">
        <f aca="true" t="shared" si="1" ref="K6:K26">B6+C6-D6-E6-F6-G6-H6-I6-J6</f>
        <v>-839.3137500000003</v>
      </c>
      <c r="L6" s="25">
        <f>Ausgangsdaten!$C$19</f>
        <v>0.45</v>
      </c>
      <c r="M6" s="11">
        <f aca="true" t="shared" si="2" ref="M6:M26">K6*L6</f>
        <v>-377.6911875000001</v>
      </c>
    </row>
    <row r="7" spans="1:13" ht="12.75">
      <c r="A7" s="19">
        <v>1</v>
      </c>
      <c r="B7" s="6">
        <f>Ausgangsdaten!$C$7*Ausgangsdaten!$C$9</f>
        <v>2376.3025</v>
      </c>
      <c r="C7" s="7">
        <f>'Prognoserechnung steuerlich'!B7*Ausgangsdaten!$B$3</f>
        <v>451.49747499999995</v>
      </c>
      <c r="D7" s="6">
        <f>'Zins-Tilgungsplan'!G9</f>
        <v>782.76</v>
      </c>
      <c r="E7" s="8">
        <f>Ausgangsdaten!$C$2/Ausgangsdaten!$C$11</f>
        <v>1128.35</v>
      </c>
      <c r="F7" s="9"/>
      <c r="G7" s="10">
        <f>Ausgangsdaten!$C$14</f>
        <v>0</v>
      </c>
      <c r="H7" s="10">
        <f>Ausgangsdaten!$C$2*Ausgangsdaten!$C$16</f>
        <v>451.34000000000003</v>
      </c>
      <c r="I7" s="8">
        <f aca="true" t="shared" si="3" ref="I7:I26">H7*0.15</f>
        <v>67.70100000000001</v>
      </c>
      <c r="J7" s="11">
        <f t="shared" si="0"/>
        <v>383.79647499999993</v>
      </c>
      <c r="K7" s="6">
        <f t="shared" si="1"/>
        <v>13.85250000000002</v>
      </c>
      <c r="L7" s="26">
        <f>Ausgangsdaten!$C$19</f>
        <v>0.45</v>
      </c>
      <c r="M7" s="11">
        <f t="shared" si="2"/>
        <v>6.23362500000001</v>
      </c>
    </row>
    <row r="8" spans="1:13" ht="12.75">
      <c r="A8" s="19">
        <v>2</v>
      </c>
      <c r="B8" s="6">
        <f>Ausgangsdaten!$C$7*Ausgangsdaten!$C$9</f>
        <v>2376.3025</v>
      </c>
      <c r="C8" s="7">
        <f>'Prognoserechnung steuerlich'!B8*Ausgangsdaten!$B$3</f>
        <v>451.49747499999995</v>
      </c>
      <c r="D8" s="6">
        <f>'Zins-Tilgungsplan'!G13</f>
        <v>782.76</v>
      </c>
      <c r="E8" s="8">
        <f>Ausgangsdaten!$C$2/Ausgangsdaten!$C$11</f>
        <v>1128.35</v>
      </c>
      <c r="F8" s="9"/>
      <c r="G8" s="10">
        <f>Ausgangsdaten!$C$14</f>
        <v>0</v>
      </c>
      <c r="H8" s="10">
        <f>Ausgangsdaten!$C$2*Ausgangsdaten!$C$16</f>
        <v>451.34000000000003</v>
      </c>
      <c r="I8" s="8">
        <f t="shared" si="3"/>
        <v>67.70100000000001</v>
      </c>
      <c r="J8" s="11">
        <f t="shared" si="0"/>
        <v>383.79647499999993</v>
      </c>
      <c r="K8" s="6">
        <f t="shared" si="1"/>
        <v>13.85250000000002</v>
      </c>
      <c r="L8" s="26">
        <f>Ausgangsdaten!$C$19</f>
        <v>0.45</v>
      </c>
      <c r="M8" s="11">
        <f t="shared" si="2"/>
        <v>6.23362500000001</v>
      </c>
    </row>
    <row r="9" spans="1:13" ht="12.75">
      <c r="A9" s="19">
        <v>3</v>
      </c>
      <c r="B9" s="6">
        <f>Ausgangsdaten!$C$7*Ausgangsdaten!$C$9</f>
        <v>2376.3025</v>
      </c>
      <c r="C9" s="7">
        <f>'Prognoserechnung steuerlich'!B9*Ausgangsdaten!$B$3</f>
        <v>451.49747499999995</v>
      </c>
      <c r="D9" s="6">
        <v>779.89</v>
      </c>
      <c r="E9" s="8">
        <f>Ausgangsdaten!$C$2/Ausgangsdaten!$C$11</f>
        <v>1128.35</v>
      </c>
      <c r="F9" s="9"/>
      <c r="G9" s="10">
        <f>Ausgangsdaten!$C$14</f>
        <v>0</v>
      </c>
      <c r="H9" s="10">
        <f>Ausgangsdaten!$C$2*Ausgangsdaten!$C$16</f>
        <v>451.34000000000003</v>
      </c>
      <c r="I9" s="8">
        <f t="shared" si="3"/>
        <v>67.70100000000001</v>
      </c>
      <c r="J9" s="11">
        <f>C9-I9</f>
        <v>383.79647499999993</v>
      </c>
      <c r="K9" s="6">
        <f>B9+C9-D9-E9-F9-G9-H9-I9-J9</f>
        <v>16.72250000000014</v>
      </c>
      <c r="L9" s="26">
        <f>Ausgangsdaten!$C$19</f>
        <v>0.45</v>
      </c>
      <c r="M9" s="11">
        <f>K9*L9</f>
        <v>7.525125000000062</v>
      </c>
    </row>
    <row r="10" spans="1:13" ht="12.75">
      <c r="A10" s="19">
        <v>4</v>
      </c>
      <c r="B10" s="6">
        <f>Ausgangsdaten!$C$7*Ausgangsdaten!$C$9</f>
        <v>2376.3025</v>
      </c>
      <c r="C10" s="7">
        <f>'Prognoserechnung steuerlich'!B10*Ausgangsdaten!$B$3</f>
        <v>451.49747499999995</v>
      </c>
      <c r="D10" s="6">
        <v>742.48</v>
      </c>
      <c r="E10" s="8">
        <f>Ausgangsdaten!$C$2/Ausgangsdaten!$C$11</f>
        <v>1128.35</v>
      </c>
      <c r="F10" s="9"/>
      <c r="G10" s="10">
        <f>Ausgangsdaten!$C$14</f>
        <v>0</v>
      </c>
      <c r="H10" s="10">
        <f>Ausgangsdaten!$C$2*Ausgangsdaten!$C$16</f>
        <v>451.34000000000003</v>
      </c>
      <c r="I10" s="8">
        <f t="shared" si="3"/>
        <v>67.70100000000001</v>
      </c>
      <c r="J10" s="11">
        <f t="shared" si="0"/>
        <v>383.79647499999993</v>
      </c>
      <c r="K10" s="6">
        <f t="shared" si="1"/>
        <v>54.13249999999999</v>
      </c>
      <c r="L10" s="26">
        <f>Ausgangsdaten!$C$19</f>
        <v>0.45</v>
      </c>
      <c r="M10" s="11">
        <f t="shared" si="2"/>
        <v>24.359624999999998</v>
      </c>
    </row>
    <row r="11" spans="1:13" ht="12.75">
      <c r="A11" s="19">
        <v>5</v>
      </c>
      <c r="B11" s="6">
        <f>Ausgangsdaten!$C$7*Ausgangsdaten!$C$9</f>
        <v>2376.3025</v>
      </c>
      <c r="C11" s="7">
        <f>'Prognoserechnung steuerlich'!B11*Ausgangsdaten!$B$3</f>
        <v>451.49747499999995</v>
      </c>
      <c r="D11" s="6">
        <f>'Zins-Tilgungsplan'!G25</f>
        <v>696.4399999999999</v>
      </c>
      <c r="E11" s="8">
        <f>Ausgangsdaten!$C$2/Ausgangsdaten!$C$11</f>
        <v>1128.35</v>
      </c>
      <c r="F11" s="9"/>
      <c r="G11" s="10">
        <f>Ausgangsdaten!$C$14</f>
        <v>0</v>
      </c>
      <c r="H11" s="10">
        <f>Ausgangsdaten!$C$2*Ausgangsdaten!$C$16</f>
        <v>451.34000000000003</v>
      </c>
      <c r="I11" s="8">
        <f t="shared" si="3"/>
        <v>67.70100000000001</v>
      </c>
      <c r="J11" s="11">
        <f t="shared" si="0"/>
        <v>383.79647499999993</v>
      </c>
      <c r="K11" s="6">
        <f t="shared" si="1"/>
        <v>100.17249999999996</v>
      </c>
      <c r="L11" s="26">
        <f>Ausgangsdaten!$C$19</f>
        <v>0.45</v>
      </c>
      <c r="M11" s="11">
        <f t="shared" si="2"/>
        <v>45.07762499999998</v>
      </c>
    </row>
    <row r="12" spans="1:13" ht="12.75">
      <c r="A12" s="19">
        <v>6</v>
      </c>
      <c r="B12" s="6">
        <f>Ausgangsdaten!$C$7*Ausgangsdaten!$C$9</f>
        <v>2376.3025</v>
      </c>
      <c r="C12" s="7">
        <f>'Prognoserechnung steuerlich'!B12*Ausgangsdaten!$B$3</f>
        <v>451.49747499999995</v>
      </c>
      <c r="D12" s="6">
        <f>'Zins-Tilgungsplan'!G29</f>
        <v>650.39</v>
      </c>
      <c r="E12" s="8">
        <f>Ausgangsdaten!$C$2/Ausgangsdaten!$C$11</f>
        <v>1128.35</v>
      </c>
      <c r="F12" s="9"/>
      <c r="G12" s="10">
        <f>Ausgangsdaten!$C$14</f>
        <v>0</v>
      </c>
      <c r="H12" s="10">
        <f>Ausgangsdaten!$C$2*Ausgangsdaten!$C$16</f>
        <v>451.34000000000003</v>
      </c>
      <c r="I12" s="8">
        <f t="shared" si="3"/>
        <v>67.70100000000001</v>
      </c>
      <c r="J12" s="11">
        <f t="shared" si="0"/>
        <v>383.79647499999993</v>
      </c>
      <c r="K12" s="6">
        <f t="shared" si="1"/>
        <v>146.22250000000014</v>
      </c>
      <c r="L12" s="26">
        <f>Ausgangsdaten!$C$19</f>
        <v>0.45</v>
      </c>
      <c r="M12" s="11">
        <f t="shared" si="2"/>
        <v>65.80012500000007</v>
      </c>
    </row>
    <row r="13" spans="1:13" ht="12.75">
      <c r="A13" s="19">
        <v>7</v>
      </c>
      <c r="B13" s="6">
        <f>Ausgangsdaten!$C$7*Ausgangsdaten!$C$9</f>
        <v>2376.3025</v>
      </c>
      <c r="C13" s="7">
        <f>'Prognoserechnung steuerlich'!B13*Ausgangsdaten!$B$3</f>
        <v>451.49747499999995</v>
      </c>
      <c r="D13" s="6">
        <f>'Zins-Tilgungsplan'!G33</f>
        <v>604.35</v>
      </c>
      <c r="E13" s="8">
        <f>Ausgangsdaten!$C$2/Ausgangsdaten!$C$11</f>
        <v>1128.35</v>
      </c>
      <c r="F13" s="9"/>
      <c r="G13" s="10">
        <f>Ausgangsdaten!$C$14</f>
        <v>0</v>
      </c>
      <c r="H13" s="10">
        <f>Ausgangsdaten!$C$2*Ausgangsdaten!$C$16</f>
        <v>451.34000000000003</v>
      </c>
      <c r="I13" s="8">
        <f t="shared" si="3"/>
        <v>67.70100000000001</v>
      </c>
      <c r="J13" s="11">
        <f t="shared" si="0"/>
        <v>383.79647499999993</v>
      </c>
      <c r="K13" s="6">
        <f t="shared" si="1"/>
        <v>192.2625000000001</v>
      </c>
      <c r="L13" s="26">
        <f>Ausgangsdaten!$C$19</f>
        <v>0.45</v>
      </c>
      <c r="M13" s="11">
        <f t="shared" si="2"/>
        <v>86.51812500000005</v>
      </c>
    </row>
    <row r="14" spans="1:13" ht="12.75">
      <c r="A14" s="19">
        <v>8</v>
      </c>
      <c r="B14" s="6">
        <f>Ausgangsdaten!$C$7*Ausgangsdaten!$C$9</f>
        <v>2376.3025</v>
      </c>
      <c r="C14" s="7">
        <f>'Prognoserechnung steuerlich'!B14*Ausgangsdaten!$B$3</f>
        <v>451.49747499999995</v>
      </c>
      <c r="D14" s="6">
        <f>'Zins-Tilgungsplan'!G37</f>
        <v>558.3</v>
      </c>
      <c r="E14" s="8">
        <f>Ausgangsdaten!$C$2/Ausgangsdaten!$C$11</f>
        <v>1128.35</v>
      </c>
      <c r="F14" s="9"/>
      <c r="G14" s="10">
        <f>Ausgangsdaten!$C$14</f>
        <v>0</v>
      </c>
      <c r="H14" s="10">
        <f>Ausgangsdaten!$C$2*Ausgangsdaten!$C$16</f>
        <v>451.34000000000003</v>
      </c>
      <c r="I14" s="8">
        <f t="shared" si="3"/>
        <v>67.70100000000001</v>
      </c>
      <c r="J14" s="11">
        <f t="shared" si="0"/>
        <v>383.79647499999993</v>
      </c>
      <c r="K14" s="6">
        <f t="shared" si="1"/>
        <v>238.31249999999983</v>
      </c>
      <c r="L14" s="26">
        <f>Ausgangsdaten!$C$19</f>
        <v>0.45</v>
      </c>
      <c r="M14" s="11">
        <f t="shared" si="2"/>
        <v>107.24062499999992</v>
      </c>
    </row>
    <row r="15" spans="1:13" ht="12.75">
      <c r="A15" s="19">
        <v>9</v>
      </c>
      <c r="B15" s="6">
        <f>Ausgangsdaten!$C$7*Ausgangsdaten!$C$9</f>
        <v>2376.3025</v>
      </c>
      <c r="C15" s="7">
        <f>'Prognoserechnung steuerlich'!B15*Ausgangsdaten!$B$3</f>
        <v>451.49747499999995</v>
      </c>
      <c r="D15" s="6">
        <f>'Zins-Tilgungsplan'!G41</f>
        <v>512.25</v>
      </c>
      <c r="E15" s="8">
        <f>Ausgangsdaten!$C$2/Ausgangsdaten!$C$11</f>
        <v>1128.35</v>
      </c>
      <c r="F15" s="9"/>
      <c r="G15" s="10">
        <f>Ausgangsdaten!$C$14</f>
        <v>0</v>
      </c>
      <c r="H15" s="10">
        <f>Ausgangsdaten!$C$2*Ausgangsdaten!$C$16</f>
        <v>451.34000000000003</v>
      </c>
      <c r="I15" s="8">
        <f t="shared" si="3"/>
        <v>67.70100000000001</v>
      </c>
      <c r="J15" s="11">
        <f t="shared" si="0"/>
        <v>383.79647499999993</v>
      </c>
      <c r="K15" s="6">
        <f t="shared" si="1"/>
        <v>284.3625</v>
      </c>
      <c r="L15" s="26">
        <f>Ausgangsdaten!$C$19</f>
        <v>0.45</v>
      </c>
      <c r="M15" s="11">
        <f t="shared" si="2"/>
        <v>127.963125</v>
      </c>
    </row>
    <row r="16" spans="1:13" ht="12.75">
      <c r="A16" s="19">
        <v>10</v>
      </c>
      <c r="B16" s="6">
        <f>Ausgangsdaten!$C$7*Ausgangsdaten!$C$9</f>
        <v>2376.3025</v>
      </c>
      <c r="C16" s="7">
        <f>'Prognoserechnung steuerlich'!B16*Ausgangsdaten!$B$3</f>
        <v>451.49747499999995</v>
      </c>
      <c r="D16" s="6">
        <f>'Zins-Tilgungsplan'!G45</f>
        <v>466.21000000000004</v>
      </c>
      <c r="E16" s="8">
        <f>Ausgangsdaten!$C$2/Ausgangsdaten!$C$11</f>
        <v>1128.35</v>
      </c>
      <c r="F16" s="9"/>
      <c r="G16" s="10">
        <f>Ausgangsdaten!$C$14</f>
        <v>0</v>
      </c>
      <c r="H16" s="10">
        <f>Ausgangsdaten!$C$2*Ausgangsdaten!$C$16</f>
        <v>451.34000000000003</v>
      </c>
      <c r="I16" s="8">
        <f t="shared" si="3"/>
        <v>67.70100000000001</v>
      </c>
      <c r="J16" s="11">
        <f t="shared" si="0"/>
        <v>383.79647499999993</v>
      </c>
      <c r="K16" s="6">
        <f t="shared" si="1"/>
        <v>330.4025</v>
      </c>
      <c r="L16" s="26">
        <f>Ausgangsdaten!$C$19</f>
        <v>0.45</v>
      </c>
      <c r="M16" s="11">
        <f t="shared" si="2"/>
        <v>148.68112499999998</v>
      </c>
    </row>
    <row r="17" spans="1:13" ht="12.75">
      <c r="A17" s="19">
        <v>11</v>
      </c>
      <c r="B17" s="6">
        <f>Ausgangsdaten!$C$7*Ausgangsdaten!$C$9</f>
        <v>2376.3025</v>
      </c>
      <c r="C17" s="7">
        <f>'Prognoserechnung steuerlich'!B17*Ausgangsdaten!$B$3</f>
        <v>451.49747499999995</v>
      </c>
      <c r="D17" s="6">
        <f>'Zins-Tilgungsplan'!G49</f>
        <v>420.15999999999997</v>
      </c>
      <c r="E17" s="8">
        <f>Ausgangsdaten!$C$2/Ausgangsdaten!$C$11</f>
        <v>1128.35</v>
      </c>
      <c r="F17" s="9"/>
      <c r="G17" s="10">
        <f>Ausgangsdaten!$C$14</f>
        <v>0</v>
      </c>
      <c r="H17" s="10">
        <f>Ausgangsdaten!$C$2*Ausgangsdaten!$C$16</f>
        <v>451.34000000000003</v>
      </c>
      <c r="I17" s="8">
        <f t="shared" si="3"/>
        <v>67.70100000000001</v>
      </c>
      <c r="J17" s="11">
        <f t="shared" si="0"/>
        <v>383.79647499999993</v>
      </c>
      <c r="K17" s="6">
        <f t="shared" si="1"/>
        <v>376.45250000000016</v>
      </c>
      <c r="L17" s="26">
        <f>Ausgangsdaten!$C$19</f>
        <v>0.45</v>
      </c>
      <c r="M17" s="11">
        <f t="shared" si="2"/>
        <v>169.40362500000006</v>
      </c>
    </row>
    <row r="18" spans="1:13" ht="12.75">
      <c r="A18" s="19">
        <v>12</v>
      </c>
      <c r="B18" s="6">
        <f>Ausgangsdaten!$C$7*Ausgangsdaten!$C$9</f>
        <v>2376.3025</v>
      </c>
      <c r="C18" s="7">
        <f>'Prognoserechnung steuerlich'!B18*Ausgangsdaten!$B$3</f>
        <v>451.49747499999995</v>
      </c>
      <c r="D18" s="6">
        <f>'Zins-Tilgungsplan'!G53</f>
        <v>374.11999999999995</v>
      </c>
      <c r="E18" s="8">
        <f>Ausgangsdaten!$C$2/Ausgangsdaten!$C$11</f>
        <v>1128.35</v>
      </c>
      <c r="F18" s="9"/>
      <c r="G18" s="10">
        <f>Ausgangsdaten!$C$14</f>
        <v>0</v>
      </c>
      <c r="H18" s="10">
        <f>Ausgangsdaten!$C$2*Ausgangsdaten!$C$16</f>
        <v>451.34000000000003</v>
      </c>
      <c r="I18" s="8">
        <f t="shared" si="3"/>
        <v>67.70100000000001</v>
      </c>
      <c r="J18" s="11">
        <f t="shared" si="0"/>
        <v>383.79647499999993</v>
      </c>
      <c r="K18" s="6">
        <f t="shared" si="1"/>
        <v>422.4925000000001</v>
      </c>
      <c r="L18" s="26">
        <f>Ausgangsdaten!$C$19</f>
        <v>0.45</v>
      </c>
      <c r="M18" s="11">
        <f t="shared" si="2"/>
        <v>190.12162500000005</v>
      </c>
    </row>
    <row r="19" spans="1:13" ht="12.75">
      <c r="A19" s="19">
        <v>13</v>
      </c>
      <c r="B19" s="6">
        <f>Ausgangsdaten!$C$7*Ausgangsdaten!$C$9</f>
        <v>2376.3025</v>
      </c>
      <c r="C19" s="7">
        <f>'Prognoserechnung steuerlich'!B19*Ausgangsdaten!$B$3</f>
        <v>451.49747499999995</v>
      </c>
      <c r="D19" s="6">
        <f>'Zins-Tilgungsplan'!G57</f>
        <v>328.07</v>
      </c>
      <c r="E19" s="8">
        <f>Ausgangsdaten!$C$2/Ausgangsdaten!$C$11</f>
        <v>1128.35</v>
      </c>
      <c r="F19" s="9"/>
      <c r="G19" s="10">
        <f>Ausgangsdaten!$C$14</f>
        <v>0</v>
      </c>
      <c r="H19" s="10">
        <f>Ausgangsdaten!$C$2*Ausgangsdaten!$C$16</f>
        <v>451.34000000000003</v>
      </c>
      <c r="I19" s="8">
        <f t="shared" si="3"/>
        <v>67.70100000000001</v>
      </c>
      <c r="J19" s="11">
        <f t="shared" si="0"/>
        <v>383.79647499999993</v>
      </c>
      <c r="K19" s="6">
        <f t="shared" si="1"/>
        <v>468.54249999999985</v>
      </c>
      <c r="L19" s="26">
        <f>Ausgangsdaten!$C$19</f>
        <v>0.45</v>
      </c>
      <c r="M19" s="11">
        <f t="shared" si="2"/>
        <v>210.84412499999993</v>
      </c>
    </row>
    <row r="20" spans="1:13" ht="12.75">
      <c r="A20" s="19">
        <v>14</v>
      </c>
      <c r="B20" s="6">
        <f>Ausgangsdaten!$C$7*Ausgangsdaten!$C$9</f>
        <v>2376.3025</v>
      </c>
      <c r="C20" s="7">
        <f>'Prognoserechnung steuerlich'!B20*Ausgangsdaten!$B$3</f>
        <v>451.49747499999995</v>
      </c>
      <c r="D20" s="6">
        <f>'Zins-Tilgungsplan'!G61</f>
        <v>282.03</v>
      </c>
      <c r="E20" s="8">
        <f>Ausgangsdaten!$C$2/Ausgangsdaten!$C$11</f>
        <v>1128.35</v>
      </c>
      <c r="F20" s="9"/>
      <c r="G20" s="10">
        <f>Ausgangsdaten!$C$14</f>
        <v>0</v>
      </c>
      <c r="H20" s="10">
        <f>Ausgangsdaten!$C$2*Ausgangsdaten!$C$16</f>
        <v>451.34000000000003</v>
      </c>
      <c r="I20" s="8">
        <f t="shared" si="3"/>
        <v>67.70100000000001</v>
      </c>
      <c r="J20" s="11">
        <f t="shared" si="0"/>
        <v>383.79647499999993</v>
      </c>
      <c r="K20" s="6">
        <f t="shared" si="1"/>
        <v>514.5825000000002</v>
      </c>
      <c r="L20" s="26">
        <f>Ausgangsdaten!$C$19</f>
        <v>0.45</v>
      </c>
      <c r="M20" s="11">
        <f t="shared" si="2"/>
        <v>231.5621250000001</v>
      </c>
    </row>
    <row r="21" spans="1:13" ht="12.75">
      <c r="A21" s="19">
        <v>15</v>
      </c>
      <c r="B21" s="6">
        <f>Ausgangsdaten!$C$7*Ausgangsdaten!$C$9</f>
        <v>2376.3025</v>
      </c>
      <c r="C21" s="7">
        <f>'Prognoserechnung steuerlich'!B21*Ausgangsdaten!$B$3</f>
        <v>451.49747499999995</v>
      </c>
      <c r="D21" s="6">
        <f>'Zins-Tilgungsplan'!G65</f>
        <v>235.98000000000002</v>
      </c>
      <c r="E21" s="8">
        <f>Ausgangsdaten!$C$2/Ausgangsdaten!$C$11</f>
        <v>1128.35</v>
      </c>
      <c r="F21" s="9"/>
      <c r="G21" s="10">
        <f>Ausgangsdaten!$C$14</f>
        <v>0</v>
      </c>
      <c r="H21" s="10">
        <f>Ausgangsdaten!$C$2*Ausgangsdaten!$C$16</f>
        <v>451.34000000000003</v>
      </c>
      <c r="I21" s="8">
        <f t="shared" si="3"/>
        <v>67.70100000000001</v>
      </c>
      <c r="J21" s="11">
        <f t="shared" si="0"/>
        <v>383.79647499999993</v>
      </c>
      <c r="K21" s="6">
        <f t="shared" si="1"/>
        <v>560.6324999999999</v>
      </c>
      <c r="L21" s="26">
        <f>Ausgangsdaten!$C$19</f>
        <v>0.45</v>
      </c>
      <c r="M21" s="11">
        <f t="shared" si="2"/>
        <v>252.28462499999998</v>
      </c>
    </row>
    <row r="22" spans="1:13" ht="12.75">
      <c r="A22" s="19">
        <v>16</v>
      </c>
      <c r="B22" s="6">
        <f>Ausgangsdaten!$C$7*Ausgangsdaten!$C$9</f>
        <v>2376.3025</v>
      </c>
      <c r="C22" s="7">
        <f>'Prognoserechnung steuerlich'!B22*Ausgangsdaten!$B$3</f>
        <v>451.49747499999995</v>
      </c>
      <c r="D22" s="6">
        <f>'Zins-Tilgungsplan'!G69</f>
        <v>189.93</v>
      </c>
      <c r="E22" s="8">
        <f>Ausgangsdaten!$C$2/Ausgangsdaten!$C$11</f>
        <v>1128.35</v>
      </c>
      <c r="F22" s="9"/>
      <c r="G22" s="10">
        <f>Ausgangsdaten!$C$14</f>
        <v>0</v>
      </c>
      <c r="H22" s="10">
        <f>Ausgangsdaten!$C$2*Ausgangsdaten!$C$16</f>
        <v>451.34000000000003</v>
      </c>
      <c r="I22" s="8">
        <f t="shared" si="3"/>
        <v>67.70100000000001</v>
      </c>
      <c r="J22" s="11">
        <f t="shared" si="0"/>
        <v>383.79647499999993</v>
      </c>
      <c r="K22" s="6">
        <f t="shared" si="1"/>
        <v>606.6825000000001</v>
      </c>
      <c r="L22" s="26">
        <f>Ausgangsdaten!$C$19</f>
        <v>0.45</v>
      </c>
      <c r="M22" s="11">
        <f t="shared" si="2"/>
        <v>273.0071250000001</v>
      </c>
    </row>
    <row r="23" spans="1:13" ht="12.75">
      <c r="A23" s="19">
        <v>17</v>
      </c>
      <c r="B23" s="6">
        <f>Ausgangsdaten!$C$7*Ausgangsdaten!$C$9</f>
        <v>2376.3025</v>
      </c>
      <c r="C23" s="7">
        <f>'Prognoserechnung steuerlich'!B23*Ausgangsdaten!$B$3</f>
        <v>451.49747499999995</v>
      </c>
      <c r="D23" s="6">
        <f>'Zins-Tilgungsplan'!G73</f>
        <v>143.88</v>
      </c>
      <c r="E23" s="8">
        <f>Ausgangsdaten!$C$2/Ausgangsdaten!$C$11</f>
        <v>1128.35</v>
      </c>
      <c r="F23" s="9"/>
      <c r="G23" s="10">
        <f>Ausgangsdaten!$C$14</f>
        <v>0</v>
      </c>
      <c r="H23" s="10">
        <f>Ausgangsdaten!$C$2*Ausgangsdaten!$C$16</f>
        <v>451.34000000000003</v>
      </c>
      <c r="I23" s="8">
        <f t="shared" si="3"/>
        <v>67.70100000000001</v>
      </c>
      <c r="J23" s="11">
        <f t="shared" si="0"/>
        <v>383.79647499999993</v>
      </c>
      <c r="K23" s="6">
        <f t="shared" si="1"/>
        <v>652.7324999999998</v>
      </c>
      <c r="L23" s="26">
        <f>Ausgangsdaten!$C$19</f>
        <v>0.45</v>
      </c>
      <c r="M23" s="11">
        <f t="shared" si="2"/>
        <v>293.72962499999994</v>
      </c>
    </row>
    <row r="24" spans="1:13" ht="12.75">
      <c r="A24" s="19">
        <v>18</v>
      </c>
      <c r="B24" s="6">
        <f>Ausgangsdaten!$C$7*Ausgangsdaten!$C$9</f>
        <v>2376.3025</v>
      </c>
      <c r="C24" s="7">
        <f>'Prognoserechnung steuerlich'!B24*Ausgangsdaten!$B$3</f>
        <v>451.49747499999995</v>
      </c>
      <c r="D24" s="6">
        <f>'Zins-Tilgungsplan'!G77</f>
        <v>97.84</v>
      </c>
      <c r="E24" s="8">
        <f>Ausgangsdaten!$C$2/Ausgangsdaten!$C$11</f>
        <v>1128.35</v>
      </c>
      <c r="F24" s="9"/>
      <c r="G24" s="10">
        <f>Ausgangsdaten!$C$14</f>
        <v>0</v>
      </c>
      <c r="H24" s="10">
        <f>Ausgangsdaten!$C$2*Ausgangsdaten!$C$16</f>
        <v>451.34000000000003</v>
      </c>
      <c r="I24" s="8">
        <f t="shared" si="3"/>
        <v>67.70100000000001</v>
      </c>
      <c r="J24" s="11">
        <f t="shared" si="0"/>
        <v>383.79647499999993</v>
      </c>
      <c r="K24" s="6">
        <f t="shared" si="1"/>
        <v>698.7724999999998</v>
      </c>
      <c r="L24" s="26">
        <f>Ausgangsdaten!$C$19</f>
        <v>0.45</v>
      </c>
      <c r="M24" s="11">
        <f t="shared" si="2"/>
        <v>314.4476249999999</v>
      </c>
    </row>
    <row r="25" spans="1:13" ht="12.75">
      <c r="A25" s="19">
        <v>19</v>
      </c>
      <c r="B25" s="6">
        <f>Ausgangsdaten!$C$7*Ausgangsdaten!$C$9</f>
        <v>2376.3025</v>
      </c>
      <c r="C25" s="7">
        <f>'Prognoserechnung steuerlich'!B25*Ausgangsdaten!$B$3</f>
        <v>451.49747499999995</v>
      </c>
      <c r="D25" s="6">
        <v>51.8</v>
      </c>
      <c r="E25" s="8">
        <f>Ausgangsdaten!$C$2/Ausgangsdaten!$C$11</f>
        <v>1128.35</v>
      </c>
      <c r="F25" s="9"/>
      <c r="G25" s="10">
        <f>Ausgangsdaten!$C$14</f>
        <v>0</v>
      </c>
      <c r="H25" s="10">
        <f>Ausgangsdaten!$C$2*Ausgangsdaten!$C$16</f>
        <v>451.34000000000003</v>
      </c>
      <c r="I25" s="8">
        <f t="shared" si="3"/>
        <v>67.70100000000001</v>
      </c>
      <c r="J25" s="11">
        <f t="shared" si="0"/>
        <v>383.79647499999993</v>
      </c>
      <c r="K25" s="6">
        <f t="shared" si="1"/>
        <v>744.8124999999998</v>
      </c>
      <c r="L25" s="26">
        <f>Ausgangsdaten!$C$19</f>
        <v>0.45</v>
      </c>
      <c r="M25" s="11">
        <f t="shared" si="2"/>
        <v>335.1656249999999</v>
      </c>
    </row>
    <row r="26" spans="1:13" ht="13.5" thickBot="1">
      <c r="A26" s="24">
        <v>20</v>
      </c>
      <c r="B26" s="13">
        <f>Ausgangsdaten!$C$7*Ausgangsdaten!$C$9</f>
        <v>2376.3025</v>
      </c>
      <c r="C26" s="12">
        <f>'Prognoserechnung steuerlich'!B26*Ausgangsdaten!$B$3</f>
        <v>451.49747499999995</v>
      </c>
      <c r="D26" s="13">
        <f>'Zins-Tilgungsplan'!G83</f>
        <v>8.629999999999999</v>
      </c>
      <c r="E26" s="14">
        <f>Ausgangsdaten!$C$2/Ausgangsdaten!$C$11*(12-Ausgangsdaten!C12)/12</f>
        <v>564.175</v>
      </c>
      <c r="F26" s="15"/>
      <c r="G26" s="16">
        <f>Ausgangsdaten!$C$14</f>
        <v>0</v>
      </c>
      <c r="H26" s="16">
        <f>Ausgangsdaten!$C$2*Ausgangsdaten!$C$16</f>
        <v>451.34000000000003</v>
      </c>
      <c r="I26" s="14">
        <f t="shared" si="3"/>
        <v>67.70100000000001</v>
      </c>
      <c r="J26" s="17">
        <f t="shared" si="0"/>
        <v>383.79647499999993</v>
      </c>
      <c r="K26" s="13">
        <f t="shared" si="1"/>
        <v>1352.1574999999996</v>
      </c>
      <c r="L26" s="27">
        <f>Ausgangsdaten!$C$19</f>
        <v>0.45</v>
      </c>
      <c r="M26" s="17">
        <f t="shared" si="2"/>
        <v>608.4708749999999</v>
      </c>
    </row>
    <row r="27" spans="4:13" ht="12.75">
      <c r="D27" s="9">
        <f>SUM(D6:D26)</f>
        <v>9945.89</v>
      </c>
      <c r="E27" s="2" t="s">
        <v>31</v>
      </c>
      <c r="F27" s="2"/>
      <c r="G27" s="2"/>
      <c r="H27" s="2"/>
      <c r="I27" s="2"/>
      <c r="J27" s="2"/>
      <c r="K27" s="38">
        <f>SUM(K6:K26)</f>
        <v>6948.841249999999</v>
      </c>
      <c r="M27" s="38">
        <f>SUM(M6:M26)</f>
        <v>3126.9785625</v>
      </c>
    </row>
    <row r="28" spans="4:10" ht="12.75">
      <c r="D28" s="2">
        <f>Ausgangsdaten!D26</f>
        <v>846.24</v>
      </c>
      <c r="E28" s="2" t="s">
        <v>33</v>
      </c>
      <c r="F28" s="2"/>
      <c r="G28" s="2"/>
      <c r="H28" s="2"/>
      <c r="I28" s="2"/>
      <c r="J28" s="2"/>
    </row>
    <row r="29" spans="4:13" ht="12.75">
      <c r="D29" s="9">
        <f>D27-D28</f>
        <v>9099.65</v>
      </c>
      <c r="E29" s="2" t="s">
        <v>76</v>
      </c>
      <c r="F29" s="2"/>
      <c r="G29" s="2"/>
      <c r="H29" s="2"/>
      <c r="I29" s="2"/>
      <c r="J29" s="2"/>
      <c r="K29" s="58"/>
      <c r="L29" s="59"/>
      <c r="M29" s="58"/>
    </row>
    <row r="31" spans="11:13" ht="37.5" customHeight="1">
      <c r="K31" s="81" t="s">
        <v>41</v>
      </c>
      <c r="L31" s="81"/>
      <c r="M31" s="81"/>
    </row>
  </sheetData>
  <mergeCells count="17">
    <mergeCell ref="B3:C3"/>
    <mergeCell ref="K31:M31"/>
    <mergeCell ref="K3:M3"/>
    <mergeCell ref="D3:J3"/>
    <mergeCell ref="I4:I5"/>
    <mergeCell ref="J4:J5"/>
    <mergeCell ref="H4:H5"/>
    <mergeCell ref="K4:K5"/>
    <mergeCell ref="L4:L5"/>
    <mergeCell ref="M4:M5"/>
    <mergeCell ref="F4:F5"/>
    <mergeCell ref="G4:G5"/>
    <mergeCell ref="A4:A5"/>
    <mergeCell ref="B4:B5"/>
    <mergeCell ref="C4:C5"/>
    <mergeCell ref="E4:E5"/>
    <mergeCell ref="D4:D5"/>
  </mergeCells>
  <printOptions/>
  <pageMargins left="0.75" right="0.75" top="1" bottom="1" header="0.4921259845" footer="0.4921259845"/>
  <pageSetup fitToHeight="1" fitToWidth="1" horizontalDpi="600" verticalDpi="600" orientation="landscape" paperSize="9" scale="74" r:id="rId1"/>
  <headerFooter alignWithMargins="0">
    <oddHeader>&amp;LWirtschaftlichkeitsrechnung
Photovoltaikanlage&amp;C&amp;A</oddHeader>
    <oddFooter>&amp;L&amp;9(c) Deubner Verlag Köln
Steuerberater-BWL-Assistent
November 2009&amp;R&amp;9Seite &amp;P von&amp;N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35"/>
  <sheetViews>
    <sheetView workbookViewId="0" topLeftCell="A1">
      <selection activeCell="B4" sqref="B4:B5"/>
    </sheetView>
  </sheetViews>
  <sheetFormatPr defaultColWidth="11.421875" defaultRowHeight="12.75"/>
  <cols>
    <col min="1" max="1" width="5.28125" style="0" customWidth="1"/>
    <col min="2" max="2" width="10.140625" style="0" customWidth="1"/>
    <col min="3" max="3" width="12.28125" style="0" customWidth="1"/>
    <col min="4" max="4" width="9.421875" style="0" customWidth="1"/>
    <col min="5" max="5" width="15.00390625" style="0" customWidth="1"/>
    <col min="6" max="6" width="14.00390625" style="0" customWidth="1"/>
    <col min="8" max="8" width="17.57421875" style="0" customWidth="1"/>
    <col min="9" max="9" width="21.00390625" style="0" customWidth="1"/>
    <col min="10" max="10" width="19.8515625" style="0" customWidth="1"/>
    <col min="11" max="11" width="11.8515625" style="0" customWidth="1"/>
    <col min="12" max="12" width="9.8515625" style="0" customWidth="1"/>
    <col min="13" max="13" width="17.57421875" style="0" customWidth="1"/>
    <col min="16" max="16" width="12.140625" style="0" bestFit="1" customWidth="1"/>
    <col min="18" max="19" width="5.28125" style="0" customWidth="1"/>
    <col min="20" max="20" width="3.57421875" style="0" customWidth="1"/>
    <col min="21" max="21" width="6.140625" style="0" customWidth="1"/>
    <col min="22" max="22" width="6.00390625" style="0" customWidth="1"/>
    <col min="24" max="24" width="12.28125" style="0" bestFit="1" customWidth="1"/>
    <col min="25" max="25" width="5.421875" style="0" customWidth="1"/>
  </cols>
  <sheetData>
    <row r="1" spans="1:24" ht="20.25">
      <c r="A1" s="1"/>
      <c r="E1" s="1"/>
      <c r="R1" s="1"/>
      <c r="S1" s="1"/>
      <c r="U1" s="99" t="s">
        <v>67</v>
      </c>
      <c r="V1" s="99"/>
      <c r="W1" s="99"/>
      <c r="X1" s="99"/>
    </row>
    <row r="2" spans="21:24" ht="22.5" customHeight="1" thickBot="1">
      <c r="U2" s="99"/>
      <c r="V2" s="99"/>
      <c r="W2" s="99"/>
      <c r="X2" s="99"/>
    </row>
    <row r="3" spans="2:21" ht="13.5" thickBot="1">
      <c r="B3" s="79" t="s">
        <v>2</v>
      </c>
      <c r="C3" s="80"/>
      <c r="D3" s="85" t="s">
        <v>5</v>
      </c>
      <c r="E3" s="86"/>
      <c r="F3" s="86"/>
      <c r="G3" s="86"/>
      <c r="H3" s="87"/>
      <c r="I3" s="87"/>
      <c r="J3" s="88"/>
      <c r="K3" s="82" t="s">
        <v>19</v>
      </c>
      <c r="L3" s="83"/>
      <c r="M3" s="83"/>
      <c r="N3" s="79" t="s">
        <v>36</v>
      </c>
      <c r="O3" s="101"/>
      <c r="P3" s="80"/>
      <c r="U3" t="s">
        <v>68</v>
      </c>
    </row>
    <row r="4" spans="1:24" ht="39.75" customHeight="1">
      <c r="A4" s="73" t="s">
        <v>0</v>
      </c>
      <c r="B4" s="75" t="s">
        <v>1</v>
      </c>
      <c r="C4" s="77" t="s">
        <v>20</v>
      </c>
      <c r="D4" s="77" t="s">
        <v>32</v>
      </c>
      <c r="E4" s="69" t="s">
        <v>77</v>
      </c>
      <c r="F4" s="69" t="s">
        <v>15</v>
      </c>
      <c r="G4" s="71" t="s">
        <v>3</v>
      </c>
      <c r="H4" s="93" t="s">
        <v>4</v>
      </c>
      <c r="I4" s="89" t="s">
        <v>25</v>
      </c>
      <c r="J4" s="91" t="s">
        <v>78</v>
      </c>
      <c r="K4" s="94" t="s">
        <v>16</v>
      </c>
      <c r="L4" s="96" t="s">
        <v>79</v>
      </c>
      <c r="M4" s="98" t="s">
        <v>43</v>
      </c>
      <c r="N4" s="98" t="s">
        <v>37</v>
      </c>
      <c r="O4" s="98" t="s">
        <v>61</v>
      </c>
      <c r="P4" s="98" t="s">
        <v>38</v>
      </c>
      <c r="Q4" s="98" t="s">
        <v>39</v>
      </c>
      <c r="R4" s="73" t="s">
        <v>0</v>
      </c>
      <c r="S4" s="60"/>
      <c r="T4" t="s">
        <v>66</v>
      </c>
      <c r="U4" t="s">
        <v>53</v>
      </c>
      <c r="W4" s="62" t="s">
        <v>70</v>
      </c>
      <c r="X4" s="62" t="s">
        <v>69</v>
      </c>
    </row>
    <row r="5" spans="1:19" ht="13.5" thickBot="1">
      <c r="A5" s="74"/>
      <c r="B5" s="76"/>
      <c r="C5" s="78"/>
      <c r="D5" s="78"/>
      <c r="E5" s="70"/>
      <c r="F5" s="70"/>
      <c r="G5" s="72"/>
      <c r="H5" s="90"/>
      <c r="I5" s="90"/>
      <c r="J5" s="92"/>
      <c r="K5" s="95"/>
      <c r="L5" s="97"/>
      <c r="M5" s="78"/>
      <c r="N5" s="100"/>
      <c r="O5" s="100"/>
      <c r="P5" s="100"/>
      <c r="Q5" s="100"/>
      <c r="R5" s="74"/>
      <c r="S5" s="60"/>
    </row>
    <row r="6" spans="1:24" ht="12.75">
      <c r="A6" s="19">
        <v>0</v>
      </c>
      <c r="B6" s="22">
        <f>'Prognoserechnung steuerlich'!B6</f>
        <v>1188.15125</v>
      </c>
      <c r="C6" s="23">
        <f>Liquiditätsrechnung!B6*Ausgangsdaten!$B$3</f>
        <v>225.74873749999998</v>
      </c>
      <c r="D6" s="6">
        <f>'Prognoserechnung steuerlich'!D6:D26</f>
        <v>1237.62</v>
      </c>
      <c r="E6" s="8">
        <f>'Prognoserechnung steuerlich'!E6</f>
        <v>564.175</v>
      </c>
      <c r="F6" s="9"/>
      <c r="G6" s="20">
        <f>Ausgangsdaten!$C$14</f>
        <v>0</v>
      </c>
      <c r="H6" s="10">
        <f>Ausgangsdaten!$C$2*Ausgangsdaten!$C$16</f>
        <v>451.34000000000003</v>
      </c>
      <c r="I6" s="21">
        <f>H6*0.15+Ausgangsdaten!C3</f>
        <v>4355.4310000000005</v>
      </c>
      <c r="J6" s="11">
        <f aca="true" t="shared" si="0" ref="J6:J26">C6-I6</f>
        <v>-4129.6822625</v>
      </c>
      <c r="K6" s="6">
        <f aca="true" t="shared" si="1" ref="K6:K26">B6+C6-D6-E6-F6-G6-H6-I6-J6</f>
        <v>-1064.9837500000003</v>
      </c>
      <c r="L6" s="25">
        <v>0.45</v>
      </c>
      <c r="M6" s="11">
        <f>K6*L7</f>
        <v>-479.24268750000016</v>
      </c>
      <c r="N6" s="30">
        <f>E6+F6</f>
        <v>564.175</v>
      </c>
      <c r="O6" s="36">
        <f>N27-Ausgangsdaten!D24</f>
        <v>1410.9999999999964</v>
      </c>
      <c r="P6" s="33">
        <f>K6+N6-O6</f>
        <v>-1911.8087499999967</v>
      </c>
      <c r="Q6" s="29">
        <f>P6-M6</f>
        <v>-1432.5660624999966</v>
      </c>
      <c r="R6" s="19">
        <v>0</v>
      </c>
      <c r="S6" s="61"/>
      <c r="T6">
        <v>20</v>
      </c>
      <c r="U6" s="4">
        <v>0.1</v>
      </c>
      <c r="W6" s="28">
        <f>P6*(1+U6)</f>
        <v>-2102.9896249999965</v>
      </c>
      <c r="X6" s="28">
        <f>W6</f>
        <v>-2102.9896249999965</v>
      </c>
    </row>
    <row r="7" spans="1:24" ht="12.75">
      <c r="A7" s="19">
        <v>1</v>
      </c>
      <c r="B7" s="22">
        <f>'Prognoserechnung steuerlich'!B7</f>
        <v>2376.3025</v>
      </c>
      <c r="C7" s="7">
        <f>Liquiditätsrechnung!B7*Ausgangsdaten!$B$3</f>
        <v>451.49747499999995</v>
      </c>
      <c r="D7" s="6">
        <f>'Prognoserechnung steuerlich'!D7</f>
        <v>782.76</v>
      </c>
      <c r="E7" s="8">
        <f>'Prognoserechnung steuerlich'!E7</f>
        <v>1128.35</v>
      </c>
      <c r="F7" s="9"/>
      <c r="G7" s="10">
        <f>Ausgangsdaten!$C$14</f>
        <v>0</v>
      </c>
      <c r="H7" s="10">
        <f>Ausgangsdaten!$C$2*Ausgangsdaten!$C$16</f>
        <v>451.34000000000003</v>
      </c>
      <c r="I7" s="8">
        <f aca="true" t="shared" si="2" ref="I7:I26">H7*0.15</f>
        <v>67.70100000000001</v>
      </c>
      <c r="J7" s="11">
        <f t="shared" si="0"/>
        <v>383.79647499999993</v>
      </c>
      <c r="K7" s="6">
        <f t="shared" si="1"/>
        <v>13.85250000000002</v>
      </c>
      <c r="L7" s="25">
        <f>Ausgangsdaten!$C$19</f>
        <v>0.45</v>
      </c>
      <c r="M7" s="11">
        <f>K7*L8</f>
        <v>6.23362500000001</v>
      </c>
      <c r="N7" s="31">
        <f aca="true" t="shared" si="3" ref="N7:N26">E7+F7</f>
        <v>1128.35</v>
      </c>
      <c r="O7" s="8">
        <f>'Zins-Tilgungsplan'!H9</f>
        <v>0</v>
      </c>
      <c r="P7" s="34">
        <f>K7+N7-O7</f>
        <v>1142.2024999999999</v>
      </c>
      <c r="Q7" s="11">
        <f>P7-M7</f>
        <v>1135.9688749999998</v>
      </c>
      <c r="R7" s="19">
        <v>1</v>
      </c>
      <c r="S7" s="61"/>
      <c r="T7">
        <v>19</v>
      </c>
      <c r="U7" s="4">
        <v>0.1</v>
      </c>
      <c r="W7" s="28">
        <f>X6*(1+U7)</f>
        <v>-2313.2885874999965</v>
      </c>
      <c r="X7" s="28">
        <f>P7+W7</f>
        <v>-1171.0860874999967</v>
      </c>
    </row>
    <row r="8" spans="1:24" ht="12.75">
      <c r="A8" s="19">
        <v>2</v>
      </c>
      <c r="B8" s="22">
        <f>'Prognoserechnung steuerlich'!B8</f>
        <v>2376.3025</v>
      </c>
      <c r="C8" s="7">
        <f>Liquiditätsrechnung!B8*Ausgangsdaten!$B$3</f>
        <v>451.49747499999995</v>
      </c>
      <c r="D8" s="6">
        <f>'Prognoserechnung steuerlich'!D8</f>
        <v>782.76</v>
      </c>
      <c r="E8" s="8">
        <f>'Prognoserechnung steuerlich'!E8</f>
        <v>1128.35</v>
      </c>
      <c r="F8" s="9"/>
      <c r="G8" s="10">
        <f>Ausgangsdaten!$C$14</f>
        <v>0</v>
      </c>
      <c r="H8" s="10">
        <f>Ausgangsdaten!$C$2*Ausgangsdaten!$C$16</f>
        <v>451.34000000000003</v>
      </c>
      <c r="I8" s="8">
        <f t="shared" si="2"/>
        <v>67.70100000000001</v>
      </c>
      <c r="J8" s="11">
        <f t="shared" si="0"/>
        <v>383.79647499999993</v>
      </c>
      <c r="K8" s="6">
        <f t="shared" si="1"/>
        <v>13.85250000000002</v>
      </c>
      <c r="L8" s="26">
        <f>Ausgangsdaten!$C$19</f>
        <v>0.45</v>
      </c>
      <c r="M8" s="11">
        <f>K8*L9</f>
        <v>6.23362500000001</v>
      </c>
      <c r="N8" s="31">
        <f t="shared" si="3"/>
        <v>1128.35</v>
      </c>
      <c r="O8" s="8">
        <f>'Zins-Tilgungsplan'!H13</f>
        <v>0</v>
      </c>
      <c r="P8" s="34">
        <f>K8+N8-O8</f>
        <v>1142.2024999999999</v>
      </c>
      <c r="Q8" s="11">
        <f>P8-M8</f>
        <v>1135.9688749999998</v>
      </c>
      <c r="R8" s="19">
        <v>2</v>
      </c>
      <c r="S8" s="61"/>
      <c r="T8">
        <v>18</v>
      </c>
      <c r="U8" s="4">
        <v>0.1</v>
      </c>
      <c r="W8" s="28">
        <f aca="true" t="shared" si="4" ref="W8:W26">X7*(1+U8)</f>
        <v>-1288.1946962499965</v>
      </c>
      <c r="X8" s="28">
        <f aca="true" t="shared" si="5" ref="X8:X26">P8+W8</f>
        <v>-145.9921962499966</v>
      </c>
    </row>
    <row r="9" spans="1:24" ht="12.75">
      <c r="A9" s="19">
        <v>3</v>
      </c>
      <c r="B9" s="22">
        <f>'Prognoserechnung steuerlich'!B9</f>
        <v>2376.3025</v>
      </c>
      <c r="C9" s="7">
        <f>Liquiditätsrechnung!B9*Ausgangsdaten!$B$3</f>
        <v>451.49747499999995</v>
      </c>
      <c r="D9" s="6">
        <f>'Prognoserechnung steuerlich'!D9</f>
        <v>779.89</v>
      </c>
      <c r="E9" s="8">
        <f>'Prognoserechnung steuerlich'!E9</f>
        <v>1128.35</v>
      </c>
      <c r="F9" s="9"/>
      <c r="G9" s="10">
        <f>Ausgangsdaten!$C$14</f>
        <v>0</v>
      </c>
      <c r="H9" s="10">
        <f>Ausgangsdaten!$C$2*Ausgangsdaten!$C$16</f>
        <v>451.34000000000003</v>
      </c>
      <c r="I9" s="8">
        <f t="shared" si="2"/>
        <v>67.70100000000001</v>
      </c>
      <c r="J9" s="11">
        <f t="shared" si="0"/>
        <v>383.79647499999993</v>
      </c>
      <c r="K9" s="6">
        <f t="shared" si="1"/>
        <v>16.72250000000014</v>
      </c>
      <c r="L9" s="26">
        <f>Ausgangsdaten!$C$19</f>
        <v>0.45</v>
      </c>
      <c r="M9" s="11">
        <f aca="true" t="shared" si="6" ref="M9:M26">K9*L9</f>
        <v>7.525125000000062</v>
      </c>
      <c r="N9" s="31">
        <f t="shared" si="3"/>
        <v>1128.35</v>
      </c>
      <c r="O9" s="8">
        <f>'Zins-Tilgungsplan'!H17</f>
        <v>622.2400000000002</v>
      </c>
      <c r="P9" s="34">
        <f aca="true" t="shared" si="7" ref="P9:P26">K9+N9-O9</f>
        <v>522.8324999999998</v>
      </c>
      <c r="Q9" s="11">
        <f aca="true" t="shared" si="8" ref="Q9:Q26">P9-M9</f>
        <v>515.3073749999996</v>
      </c>
      <c r="R9" s="19">
        <v>3</v>
      </c>
      <c r="S9" s="61"/>
      <c r="T9">
        <v>17</v>
      </c>
      <c r="U9" s="4">
        <v>0.1</v>
      </c>
      <c r="W9" s="28">
        <f t="shared" si="4"/>
        <v>-160.59141587499627</v>
      </c>
      <c r="X9" s="28">
        <f t="shared" si="5"/>
        <v>362.24108412500345</v>
      </c>
    </row>
    <row r="10" spans="1:24" ht="12.75">
      <c r="A10" s="19">
        <v>4</v>
      </c>
      <c r="B10" s="22">
        <f>'Prognoserechnung steuerlich'!B10</f>
        <v>2376.3025</v>
      </c>
      <c r="C10" s="7">
        <f>Liquiditätsrechnung!B10*Ausgangsdaten!$B$3</f>
        <v>451.49747499999995</v>
      </c>
      <c r="D10" s="6">
        <f>'Prognoserechnung steuerlich'!D10</f>
        <v>742.48</v>
      </c>
      <c r="E10" s="8">
        <f>'Prognoserechnung steuerlich'!E10</f>
        <v>1128.35</v>
      </c>
      <c r="F10" s="9"/>
      <c r="G10" s="10">
        <f>Ausgangsdaten!$C$14</f>
        <v>0</v>
      </c>
      <c r="H10" s="10">
        <f>Ausgangsdaten!$C$2*Ausgangsdaten!$C$16</f>
        <v>451.34000000000003</v>
      </c>
      <c r="I10" s="8">
        <f t="shared" si="2"/>
        <v>67.70100000000001</v>
      </c>
      <c r="J10" s="11">
        <f t="shared" si="0"/>
        <v>383.79647499999993</v>
      </c>
      <c r="K10" s="6">
        <f t="shared" si="1"/>
        <v>54.13249999999999</v>
      </c>
      <c r="L10" s="26">
        <f>Ausgangsdaten!$C$19</f>
        <v>0.45</v>
      </c>
      <c r="M10" s="11">
        <f t="shared" si="6"/>
        <v>24.359624999999998</v>
      </c>
      <c r="N10" s="31">
        <f t="shared" si="3"/>
        <v>1128.35</v>
      </c>
      <c r="O10" s="8">
        <f>'Zins-Tilgungsplan'!H21</f>
        <v>1244.48</v>
      </c>
      <c r="P10" s="34">
        <f t="shared" si="7"/>
        <v>-61.99750000000017</v>
      </c>
      <c r="Q10" s="11">
        <f t="shared" si="8"/>
        <v>-86.35712500000017</v>
      </c>
      <c r="R10" s="19">
        <v>4</v>
      </c>
      <c r="S10" s="61"/>
      <c r="T10">
        <v>16</v>
      </c>
      <c r="U10" s="4">
        <v>0.03</v>
      </c>
      <c r="W10" s="28">
        <f t="shared" si="4"/>
        <v>373.10831664875354</v>
      </c>
      <c r="X10" s="28">
        <f t="shared" si="5"/>
        <v>311.11081664875337</v>
      </c>
    </row>
    <row r="11" spans="1:24" ht="12.75">
      <c r="A11" s="19">
        <v>5</v>
      </c>
      <c r="B11" s="22">
        <f>'Prognoserechnung steuerlich'!B11</f>
        <v>2376.3025</v>
      </c>
      <c r="C11" s="7">
        <f>Liquiditätsrechnung!B11*Ausgangsdaten!$B$3</f>
        <v>451.49747499999995</v>
      </c>
      <c r="D11" s="6">
        <f>'Prognoserechnung steuerlich'!D11</f>
        <v>696.4399999999999</v>
      </c>
      <c r="E11" s="8">
        <f>'Prognoserechnung steuerlich'!E11</f>
        <v>1128.35</v>
      </c>
      <c r="F11" s="9"/>
      <c r="G11" s="10">
        <f>Ausgangsdaten!$C$14</f>
        <v>0</v>
      </c>
      <c r="H11" s="10">
        <f>Ausgangsdaten!$C$2*Ausgangsdaten!$C$16</f>
        <v>451.34000000000003</v>
      </c>
      <c r="I11" s="8">
        <f t="shared" si="2"/>
        <v>67.70100000000001</v>
      </c>
      <c r="J11" s="11">
        <f t="shared" si="0"/>
        <v>383.79647499999993</v>
      </c>
      <c r="K11" s="6">
        <f t="shared" si="1"/>
        <v>100.17249999999996</v>
      </c>
      <c r="L11" s="26">
        <f>Ausgangsdaten!$C$19</f>
        <v>0.45</v>
      </c>
      <c r="M11" s="11">
        <f t="shared" si="6"/>
        <v>45.07762499999998</v>
      </c>
      <c r="N11" s="31">
        <f t="shared" si="3"/>
        <v>1128.35</v>
      </c>
      <c r="O11" s="8">
        <v>1244.48</v>
      </c>
      <c r="P11" s="34">
        <f t="shared" si="7"/>
        <v>-15.95750000000021</v>
      </c>
      <c r="Q11" s="11">
        <f t="shared" si="8"/>
        <v>-61.03512500000019</v>
      </c>
      <c r="R11" s="19">
        <v>5</v>
      </c>
      <c r="S11" s="61"/>
      <c r="T11">
        <v>15</v>
      </c>
      <c r="U11" s="4">
        <v>0.03</v>
      </c>
      <c r="W11" s="28">
        <f t="shared" si="4"/>
        <v>320.444141148216</v>
      </c>
      <c r="X11" s="28">
        <f t="shared" si="5"/>
        <v>304.48664114821577</v>
      </c>
    </row>
    <row r="12" spans="1:24" ht="12.75">
      <c r="A12" s="19">
        <v>6</v>
      </c>
      <c r="B12" s="22">
        <f>'Prognoserechnung steuerlich'!B12</f>
        <v>2376.3025</v>
      </c>
      <c r="C12" s="7">
        <f>Liquiditätsrechnung!B12*Ausgangsdaten!$B$3</f>
        <v>451.49747499999995</v>
      </c>
      <c r="D12" s="6">
        <f>'Prognoserechnung steuerlich'!D12</f>
        <v>650.39</v>
      </c>
      <c r="E12" s="8">
        <f>'Prognoserechnung steuerlich'!E12</f>
        <v>1128.35</v>
      </c>
      <c r="F12" s="9"/>
      <c r="G12" s="10">
        <f>Ausgangsdaten!$C$14</f>
        <v>0</v>
      </c>
      <c r="H12" s="10">
        <f>Ausgangsdaten!$C$2*Ausgangsdaten!$C$16</f>
        <v>451.34000000000003</v>
      </c>
      <c r="I12" s="8">
        <f t="shared" si="2"/>
        <v>67.70100000000001</v>
      </c>
      <c r="J12" s="11">
        <f t="shared" si="0"/>
        <v>383.79647499999993</v>
      </c>
      <c r="K12" s="6">
        <f t="shared" si="1"/>
        <v>146.22250000000014</v>
      </c>
      <c r="L12" s="26">
        <f>Ausgangsdaten!$C$19</f>
        <v>0.45</v>
      </c>
      <c r="M12" s="11">
        <f t="shared" si="6"/>
        <v>65.80012500000007</v>
      </c>
      <c r="N12" s="31">
        <f t="shared" si="3"/>
        <v>1128.35</v>
      </c>
      <c r="O12" s="8">
        <v>1244.48</v>
      </c>
      <c r="P12" s="34">
        <f t="shared" si="7"/>
        <v>30.092499999999973</v>
      </c>
      <c r="Q12" s="11">
        <f t="shared" si="8"/>
        <v>-35.70762500000009</v>
      </c>
      <c r="R12" s="19">
        <v>6</v>
      </c>
      <c r="S12" s="61"/>
      <c r="T12">
        <v>14</v>
      </c>
      <c r="U12" s="4">
        <v>0.03</v>
      </c>
      <c r="W12" s="28">
        <f t="shared" si="4"/>
        <v>313.6212403826622</v>
      </c>
      <c r="X12" s="28">
        <f t="shared" si="5"/>
        <v>343.7137403826622</v>
      </c>
    </row>
    <row r="13" spans="1:24" ht="12.75">
      <c r="A13" s="19">
        <v>7</v>
      </c>
      <c r="B13" s="22">
        <f>'Prognoserechnung steuerlich'!B13</f>
        <v>2376.3025</v>
      </c>
      <c r="C13" s="7">
        <f>Liquiditätsrechnung!B13*Ausgangsdaten!$B$3</f>
        <v>451.49747499999995</v>
      </c>
      <c r="D13" s="6">
        <f>'Prognoserechnung steuerlich'!D13</f>
        <v>604.35</v>
      </c>
      <c r="E13" s="8">
        <f>'Prognoserechnung steuerlich'!E13</f>
        <v>1128.35</v>
      </c>
      <c r="F13" s="9"/>
      <c r="G13" s="10">
        <f>Ausgangsdaten!$C$14</f>
        <v>0</v>
      </c>
      <c r="H13" s="10">
        <f>Ausgangsdaten!$C$2*Ausgangsdaten!$C$16</f>
        <v>451.34000000000003</v>
      </c>
      <c r="I13" s="8">
        <f t="shared" si="2"/>
        <v>67.70100000000001</v>
      </c>
      <c r="J13" s="11">
        <f t="shared" si="0"/>
        <v>383.79647499999993</v>
      </c>
      <c r="K13" s="6">
        <f t="shared" si="1"/>
        <v>192.2625000000001</v>
      </c>
      <c r="L13" s="26">
        <f>Ausgangsdaten!$C$19</f>
        <v>0.45</v>
      </c>
      <c r="M13" s="11">
        <f t="shared" si="6"/>
        <v>86.51812500000005</v>
      </c>
      <c r="N13" s="31">
        <f t="shared" si="3"/>
        <v>1128.35</v>
      </c>
      <c r="O13" s="8">
        <v>1244.48</v>
      </c>
      <c r="P13" s="34">
        <f t="shared" si="7"/>
        <v>76.13249999999994</v>
      </c>
      <c r="Q13" s="11">
        <f t="shared" si="8"/>
        <v>-10.385625000000118</v>
      </c>
      <c r="R13" s="19">
        <v>7</v>
      </c>
      <c r="S13" s="61"/>
      <c r="T13">
        <v>13</v>
      </c>
      <c r="U13" s="4">
        <v>0.03</v>
      </c>
      <c r="W13" s="28">
        <f t="shared" si="4"/>
        <v>354.02515259414207</v>
      </c>
      <c r="X13" s="28">
        <f t="shared" si="5"/>
        <v>430.157652594142</v>
      </c>
    </row>
    <row r="14" spans="1:24" ht="12.75">
      <c r="A14" s="19">
        <v>8</v>
      </c>
      <c r="B14" s="22">
        <f>'Prognoserechnung steuerlich'!B14</f>
        <v>2376.3025</v>
      </c>
      <c r="C14" s="7">
        <f>Liquiditätsrechnung!B14*Ausgangsdaten!$B$3</f>
        <v>451.49747499999995</v>
      </c>
      <c r="D14" s="6">
        <f>'Prognoserechnung steuerlich'!D14</f>
        <v>558.3</v>
      </c>
      <c r="E14" s="8">
        <f>'Prognoserechnung steuerlich'!E14</f>
        <v>1128.35</v>
      </c>
      <c r="F14" s="9"/>
      <c r="G14" s="10">
        <f>Ausgangsdaten!$C$14</f>
        <v>0</v>
      </c>
      <c r="H14" s="10">
        <f>Ausgangsdaten!$C$2*Ausgangsdaten!$C$16</f>
        <v>451.34000000000003</v>
      </c>
      <c r="I14" s="8">
        <f t="shared" si="2"/>
        <v>67.70100000000001</v>
      </c>
      <c r="J14" s="11">
        <f t="shared" si="0"/>
        <v>383.79647499999993</v>
      </c>
      <c r="K14" s="6">
        <f t="shared" si="1"/>
        <v>238.31249999999983</v>
      </c>
      <c r="L14" s="26">
        <f>Ausgangsdaten!$C$19</f>
        <v>0.45</v>
      </c>
      <c r="M14" s="11">
        <f t="shared" si="6"/>
        <v>107.24062499999992</v>
      </c>
      <c r="N14" s="31">
        <f t="shared" si="3"/>
        <v>1128.35</v>
      </c>
      <c r="O14" s="8">
        <v>1244.48</v>
      </c>
      <c r="P14" s="34">
        <f t="shared" si="7"/>
        <v>122.18249999999966</v>
      </c>
      <c r="Q14" s="11">
        <f t="shared" si="8"/>
        <v>14.94187499999974</v>
      </c>
      <c r="R14" s="19">
        <v>8</v>
      </c>
      <c r="S14" s="61"/>
      <c r="T14">
        <v>12</v>
      </c>
      <c r="U14" s="4">
        <v>0.03</v>
      </c>
      <c r="W14" s="28">
        <f t="shared" si="4"/>
        <v>443.0623821719663</v>
      </c>
      <c r="X14" s="28">
        <f t="shared" si="5"/>
        <v>565.244882171966</v>
      </c>
    </row>
    <row r="15" spans="1:24" ht="12.75">
      <c r="A15" s="19">
        <v>9</v>
      </c>
      <c r="B15" s="22">
        <f>'Prognoserechnung steuerlich'!B15</f>
        <v>2376.3025</v>
      </c>
      <c r="C15" s="7">
        <f>Liquiditätsrechnung!B15*Ausgangsdaten!$B$3</f>
        <v>451.49747499999995</v>
      </c>
      <c r="D15" s="6">
        <f>'Prognoserechnung steuerlich'!D15</f>
        <v>512.25</v>
      </c>
      <c r="E15" s="8">
        <f>'Prognoserechnung steuerlich'!E15</f>
        <v>1128.35</v>
      </c>
      <c r="F15" s="9"/>
      <c r="G15" s="10">
        <f>Ausgangsdaten!$C$14</f>
        <v>0</v>
      </c>
      <c r="H15" s="10">
        <f>Ausgangsdaten!$C$2*Ausgangsdaten!$C$16</f>
        <v>451.34000000000003</v>
      </c>
      <c r="I15" s="8">
        <f t="shared" si="2"/>
        <v>67.70100000000001</v>
      </c>
      <c r="J15" s="11">
        <f t="shared" si="0"/>
        <v>383.79647499999993</v>
      </c>
      <c r="K15" s="6">
        <f t="shared" si="1"/>
        <v>284.3625</v>
      </c>
      <c r="L15" s="26">
        <f>Ausgangsdaten!$C$19</f>
        <v>0.45</v>
      </c>
      <c r="M15" s="11">
        <f t="shared" si="6"/>
        <v>127.963125</v>
      </c>
      <c r="N15" s="31">
        <f t="shared" si="3"/>
        <v>1128.35</v>
      </c>
      <c r="O15" s="8">
        <v>1244.48</v>
      </c>
      <c r="P15" s="34">
        <f t="shared" si="7"/>
        <v>168.23249999999985</v>
      </c>
      <c r="Q15" s="11">
        <f t="shared" si="8"/>
        <v>40.26937499999984</v>
      </c>
      <c r="R15" s="19">
        <v>9</v>
      </c>
      <c r="S15" s="61"/>
      <c r="T15">
        <v>11</v>
      </c>
      <c r="U15" s="4">
        <v>0.03</v>
      </c>
      <c r="W15" s="28">
        <f t="shared" si="4"/>
        <v>582.202228637125</v>
      </c>
      <c r="X15" s="28">
        <f t="shared" si="5"/>
        <v>750.4347286371249</v>
      </c>
    </row>
    <row r="16" spans="1:24" ht="12.75">
      <c r="A16" s="19">
        <v>10</v>
      </c>
      <c r="B16" s="22">
        <f>'Prognoserechnung steuerlich'!B16</f>
        <v>2376.3025</v>
      </c>
      <c r="C16" s="7">
        <f>Liquiditätsrechnung!B16*Ausgangsdaten!$B$3</f>
        <v>451.49747499999995</v>
      </c>
      <c r="D16" s="6">
        <f>'Prognoserechnung steuerlich'!D16</f>
        <v>466.21000000000004</v>
      </c>
      <c r="E16" s="8">
        <f>'Prognoserechnung steuerlich'!E16</f>
        <v>1128.35</v>
      </c>
      <c r="F16" s="9"/>
      <c r="G16" s="10">
        <f>Ausgangsdaten!$C$14</f>
        <v>0</v>
      </c>
      <c r="H16" s="10">
        <f>Ausgangsdaten!$C$2*Ausgangsdaten!$C$16</f>
        <v>451.34000000000003</v>
      </c>
      <c r="I16" s="8">
        <f t="shared" si="2"/>
        <v>67.70100000000001</v>
      </c>
      <c r="J16" s="11">
        <f t="shared" si="0"/>
        <v>383.79647499999993</v>
      </c>
      <c r="K16" s="6">
        <f t="shared" si="1"/>
        <v>330.4025</v>
      </c>
      <c r="L16" s="26">
        <f>Ausgangsdaten!$C$19</f>
        <v>0.45</v>
      </c>
      <c r="M16" s="11">
        <f t="shared" si="6"/>
        <v>148.68112499999998</v>
      </c>
      <c r="N16" s="31">
        <f t="shared" si="3"/>
        <v>1128.35</v>
      </c>
      <c r="O16" s="8">
        <v>1244.48</v>
      </c>
      <c r="P16" s="34">
        <f t="shared" si="7"/>
        <v>214.2724999999998</v>
      </c>
      <c r="Q16" s="11">
        <f t="shared" si="8"/>
        <v>65.59137499999983</v>
      </c>
      <c r="R16" s="19">
        <v>10</v>
      </c>
      <c r="S16" s="61"/>
      <c r="T16">
        <v>10</v>
      </c>
      <c r="U16" s="4">
        <v>0.03</v>
      </c>
      <c r="W16" s="28">
        <f t="shared" si="4"/>
        <v>772.9477704962386</v>
      </c>
      <c r="X16" s="28">
        <f t="shared" si="5"/>
        <v>987.2202704962384</v>
      </c>
    </row>
    <row r="17" spans="1:24" ht="12.75">
      <c r="A17" s="19">
        <v>11</v>
      </c>
      <c r="B17" s="22">
        <f>'Prognoserechnung steuerlich'!B17</f>
        <v>2376.3025</v>
      </c>
      <c r="C17" s="7">
        <f>Liquiditätsrechnung!B17*Ausgangsdaten!$B$3</f>
        <v>451.49747499999995</v>
      </c>
      <c r="D17" s="6">
        <f>'Prognoserechnung steuerlich'!D17</f>
        <v>420.15999999999997</v>
      </c>
      <c r="E17" s="8">
        <f>'Prognoserechnung steuerlich'!E17</f>
        <v>1128.35</v>
      </c>
      <c r="F17" s="9"/>
      <c r="G17" s="10">
        <f>Ausgangsdaten!$C$14</f>
        <v>0</v>
      </c>
      <c r="H17" s="10">
        <f>Ausgangsdaten!$C$2*Ausgangsdaten!$C$16</f>
        <v>451.34000000000003</v>
      </c>
      <c r="I17" s="8">
        <f t="shared" si="2"/>
        <v>67.70100000000001</v>
      </c>
      <c r="J17" s="11">
        <f t="shared" si="0"/>
        <v>383.79647499999993</v>
      </c>
      <c r="K17" s="6">
        <f t="shared" si="1"/>
        <v>376.45250000000016</v>
      </c>
      <c r="L17" s="26">
        <f>Ausgangsdaten!$C$19</f>
        <v>0.45</v>
      </c>
      <c r="M17" s="11">
        <f t="shared" si="6"/>
        <v>169.40362500000006</v>
      </c>
      <c r="N17" s="31">
        <f t="shared" si="3"/>
        <v>1128.35</v>
      </c>
      <c r="O17" s="8">
        <v>1244.48</v>
      </c>
      <c r="P17" s="34">
        <f t="shared" si="7"/>
        <v>260.3225</v>
      </c>
      <c r="Q17" s="11">
        <f t="shared" si="8"/>
        <v>90.91887499999993</v>
      </c>
      <c r="R17" s="19">
        <v>11</v>
      </c>
      <c r="S17" s="61"/>
      <c r="T17">
        <v>9</v>
      </c>
      <c r="U17" s="4">
        <v>0.03</v>
      </c>
      <c r="W17" s="28">
        <f t="shared" si="4"/>
        <v>1016.8368786111256</v>
      </c>
      <c r="X17" s="28">
        <f t="shared" si="5"/>
        <v>1277.1593786111257</v>
      </c>
    </row>
    <row r="18" spans="1:24" ht="12.75">
      <c r="A18" s="19">
        <v>12</v>
      </c>
      <c r="B18" s="22">
        <f>'Prognoserechnung steuerlich'!B18</f>
        <v>2376.3025</v>
      </c>
      <c r="C18" s="7">
        <f>Liquiditätsrechnung!B18*Ausgangsdaten!$B$3</f>
        <v>451.49747499999995</v>
      </c>
      <c r="D18" s="6">
        <f>'Prognoserechnung steuerlich'!D18</f>
        <v>374.11999999999995</v>
      </c>
      <c r="E18" s="8">
        <f>'Prognoserechnung steuerlich'!E18</f>
        <v>1128.35</v>
      </c>
      <c r="F18" s="9"/>
      <c r="G18" s="10">
        <f>Ausgangsdaten!$C$14</f>
        <v>0</v>
      </c>
      <c r="H18" s="10">
        <f>Ausgangsdaten!$C$2*Ausgangsdaten!$C$16</f>
        <v>451.34000000000003</v>
      </c>
      <c r="I18" s="8">
        <f t="shared" si="2"/>
        <v>67.70100000000001</v>
      </c>
      <c r="J18" s="11">
        <f t="shared" si="0"/>
        <v>383.79647499999993</v>
      </c>
      <c r="K18" s="6">
        <f t="shared" si="1"/>
        <v>422.4925000000001</v>
      </c>
      <c r="L18" s="26">
        <f>Ausgangsdaten!$C$19</f>
        <v>0.45</v>
      </c>
      <c r="M18" s="11">
        <f t="shared" si="6"/>
        <v>190.12162500000005</v>
      </c>
      <c r="N18" s="31">
        <f t="shared" si="3"/>
        <v>1128.35</v>
      </c>
      <c r="O18" s="8">
        <v>1244.48</v>
      </c>
      <c r="P18" s="34">
        <f t="shared" si="7"/>
        <v>306.36249999999995</v>
      </c>
      <c r="Q18" s="11">
        <f t="shared" si="8"/>
        <v>116.2408749999999</v>
      </c>
      <c r="R18" s="19">
        <v>12</v>
      </c>
      <c r="S18" s="61"/>
      <c r="T18">
        <v>8</v>
      </c>
      <c r="U18" s="4">
        <v>0.03</v>
      </c>
      <c r="W18" s="28">
        <f t="shared" si="4"/>
        <v>1315.4741599694596</v>
      </c>
      <c r="X18" s="28">
        <f t="shared" si="5"/>
        <v>1621.8366599694596</v>
      </c>
    </row>
    <row r="19" spans="1:24" ht="12.75">
      <c r="A19" s="19">
        <v>13</v>
      </c>
      <c r="B19" s="22">
        <f>'Prognoserechnung steuerlich'!B19</f>
        <v>2376.3025</v>
      </c>
      <c r="C19" s="7">
        <f>Liquiditätsrechnung!B19*Ausgangsdaten!$B$3</f>
        <v>451.49747499999995</v>
      </c>
      <c r="D19" s="6">
        <f>'Prognoserechnung steuerlich'!D19</f>
        <v>328.07</v>
      </c>
      <c r="E19" s="8">
        <f>'Prognoserechnung steuerlich'!E19</f>
        <v>1128.35</v>
      </c>
      <c r="F19" s="9"/>
      <c r="G19" s="10">
        <f>Ausgangsdaten!$C$14</f>
        <v>0</v>
      </c>
      <c r="H19" s="10">
        <f>Ausgangsdaten!$C$2*Ausgangsdaten!$C$16</f>
        <v>451.34000000000003</v>
      </c>
      <c r="I19" s="8">
        <f t="shared" si="2"/>
        <v>67.70100000000001</v>
      </c>
      <c r="J19" s="11">
        <f t="shared" si="0"/>
        <v>383.79647499999993</v>
      </c>
      <c r="K19" s="6">
        <f t="shared" si="1"/>
        <v>468.54249999999985</v>
      </c>
      <c r="L19" s="26">
        <f>Ausgangsdaten!$C$19</f>
        <v>0.45</v>
      </c>
      <c r="M19" s="11">
        <f t="shared" si="6"/>
        <v>210.84412499999993</v>
      </c>
      <c r="N19" s="31">
        <f t="shared" si="3"/>
        <v>1128.35</v>
      </c>
      <c r="O19" s="8">
        <v>1244.48</v>
      </c>
      <c r="P19" s="34">
        <f t="shared" si="7"/>
        <v>352.4124999999997</v>
      </c>
      <c r="Q19" s="11">
        <f t="shared" si="8"/>
        <v>141.56837499999975</v>
      </c>
      <c r="R19" s="19">
        <v>13</v>
      </c>
      <c r="S19" s="61"/>
      <c r="T19">
        <v>7</v>
      </c>
      <c r="U19" s="4">
        <v>0.03</v>
      </c>
      <c r="W19" s="28">
        <f t="shared" si="4"/>
        <v>1670.4917597685435</v>
      </c>
      <c r="X19" s="28">
        <f t="shared" si="5"/>
        <v>2022.9042597685432</v>
      </c>
    </row>
    <row r="20" spans="1:24" ht="12.75">
      <c r="A20" s="19">
        <v>14</v>
      </c>
      <c r="B20" s="22">
        <f>'Prognoserechnung steuerlich'!B20</f>
        <v>2376.3025</v>
      </c>
      <c r="C20" s="7">
        <f>Liquiditätsrechnung!B20*Ausgangsdaten!$B$3</f>
        <v>451.49747499999995</v>
      </c>
      <c r="D20" s="6">
        <f>'Prognoserechnung steuerlich'!D20</f>
        <v>282.03</v>
      </c>
      <c r="E20" s="8">
        <f>'Prognoserechnung steuerlich'!E20</f>
        <v>1128.35</v>
      </c>
      <c r="F20" s="9"/>
      <c r="G20" s="10">
        <f>Ausgangsdaten!$C$14</f>
        <v>0</v>
      </c>
      <c r="H20" s="10">
        <f>Ausgangsdaten!$C$2*Ausgangsdaten!$C$16</f>
        <v>451.34000000000003</v>
      </c>
      <c r="I20" s="8">
        <f t="shared" si="2"/>
        <v>67.70100000000001</v>
      </c>
      <c r="J20" s="11">
        <f t="shared" si="0"/>
        <v>383.79647499999993</v>
      </c>
      <c r="K20" s="6">
        <f t="shared" si="1"/>
        <v>514.5825000000002</v>
      </c>
      <c r="L20" s="26">
        <f>Ausgangsdaten!$C$19</f>
        <v>0.45</v>
      </c>
      <c r="M20" s="11">
        <f t="shared" si="6"/>
        <v>231.5621250000001</v>
      </c>
      <c r="N20" s="31">
        <f t="shared" si="3"/>
        <v>1128.35</v>
      </c>
      <c r="O20" s="8">
        <v>1244.48</v>
      </c>
      <c r="P20" s="34">
        <f t="shared" si="7"/>
        <v>398.4525000000001</v>
      </c>
      <c r="Q20" s="11">
        <f t="shared" si="8"/>
        <v>166.890375</v>
      </c>
      <c r="R20" s="19">
        <v>14</v>
      </c>
      <c r="S20" s="61"/>
      <c r="T20">
        <v>6</v>
      </c>
      <c r="U20" s="4">
        <v>0.03</v>
      </c>
      <c r="W20" s="28">
        <f t="shared" si="4"/>
        <v>2083.5913875615997</v>
      </c>
      <c r="X20" s="28">
        <f t="shared" si="5"/>
        <v>2482.0438875616</v>
      </c>
    </row>
    <row r="21" spans="1:24" ht="12.75">
      <c r="A21" s="19">
        <v>15</v>
      </c>
      <c r="B21" s="22">
        <f>'Prognoserechnung steuerlich'!B21</f>
        <v>2376.3025</v>
      </c>
      <c r="C21" s="7">
        <f>Liquiditätsrechnung!B21*Ausgangsdaten!$B$3</f>
        <v>451.49747499999995</v>
      </c>
      <c r="D21" s="6">
        <f>'Prognoserechnung steuerlich'!D21</f>
        <v>235.98000000000002</v>
      </c>
      <c r="E21" s="8">
        <f>'Prognoserechnung steuerlich'!E21</f>
        <v>1128.35</v>
      </c>
      <c r="F21" s="9"/>
      <c r="G21" s="10">
        <f>Ausgangsdaten!$C$14</f>
        <v>0</v>
      </c>
      <c r="H21" s="10">
        <f>Ausgangsdaten!$C$2*Ausgangsdaten!$C$16</f>
        <v>451.34000000000003</v>
      </c>
      <c r="I21" s="8">
        <f t="shared" si="2"/>
        <v>67.70100000000001</v>
      </c>
      <c r="J21" s="11">
        <f t="shared" si="0"/>
        <v>383.79647499999993</v>
      </c>
      <c r="K21" s="6">
        <f t="shared" si="1"/>
        <v>560.6324999999999</v>
      </c>
      <c r="L21" s="26">
        <f>Ausgangsdaten!$C$19</f>
        <v>0.45</v>
      </c>
      <c r="M21" s="11">
        <f t="shared" si="6"/>
        <v>252.28462499999998</v>
      </c>
      <c r="N21" s="31">
        <f t="shared" si="3"/>
        <v>1128.35</v>
      </c>
      <c r="O21" s="8">
        <v>1244.48</v>
      </c>
      <c r="P21" s="34">
        <f t="shared" si="7"/>
        <v>444.5024999999998</v>
      </c>
      <c r="Q21" s="11">
        <f t="shared" si="8"/>
        <v>192.21787499999985</v>
      </c>
      <c r="R21" s="19">
        <v>15</v>
      </c>
      <c r="S21" s="61"/>
      <c r="T21">
        <v>5</v>
      </c>
      <c r="U21" s="4">
        <v>0.03</v>
      </c>
      <c r="W21" s="28">
        <f t="shared" si="4"/>
        <v>2556.5052041884483</v>
      </c>
      <c r="X21" s="28">
        <f t="shared" si="5"/>
        <v>3001.007704188448</v>
      </c>
    </row>
    <row r="22" spans="1:24" ht="12.75">
      <c r="A22" s="19">
        <v>16</v>
      </c>
      <c r="B22" s="22">
        <f>'Prognoserechnung steuerlich'!B22</f>
        <v>2376.3025</v>
      </c>
      <c r="C22" s="7">
        <f>Liquiditätsrechnung!B22*Ausgangsdaten!$B$3</f>
        <v>451.49747499999995</v>
      </c>
      <c r="D22" s="6">
        <f>'Prognoserechnung steuerlich'!D22</f>
        <v>189.93</v>
      </c>
      <c r="E22" s="8">
        <f>'Prognoserechnung steuerlich'!E22</f>
        <v>1128.35</v>
      </c>
      <c r="F22" s="9"/>
      <c r="G22" s="10">
        <f>Ausgangsdaten!$C$14</f>
        <v>0</v>
      </c>
      <c r="H22" s="10">
        <f>Ausgangsdaten!$C$2*Ausgangsdaten!$C$16</f>
        <v>451.34000000000003</v>
      </c>
      <c r="I22" s="8">
        <f t="shared" si="2"/>
        <v>67.70100000000001</v>
      </c>
      <c r="J22" s="11">
        <f t="shared" si="0"/>
        <v>383.79647499999993</v>
      </c>
      <c r="K22" s="6">
        <f t="shared" si="1"/>
        <v>606.6825000000001</v>
      </c>
      <c r="L22" s="26">
        <f>Ausgangsdaten!$C$19</f>
        <v>0.45</v>
      </c>
      <c r="M22" s="11">
        <f t="shared" si="6"/>
        <v>273.0071250000001</v>
      </c>
      <c r="N22" s="31">
        <f t="shared" si="3"/>
        <v>1128.35</v>
      </c>
      <c r="O22" s="8">
        <v>1244.48</v>
      </c>
      <c r="P22" s="34">
        <f t="shared" si="7"/>
        <v>490.5525</v>
      </c>
      <c r="Q22" s="11">
        <f t="shared" si="8"/>
        <v>217.54537499999992</v>
      </c>
      <c r="R22" s="19">
        <v>16</v>
      </c>
      <c r="S22" s="61"/>
      <c r="T22">
        <v>4</v>
      </c>
      <c r="U22" s="4">
        <v>0.03</v>
      </c>
      <c r="W22" s="28">
        <f t="shared" si="4"/>
        <v>3091.0379353141016</v>
      </c>
      <c r="X22" s="28">
        <f t="shared" si="5"/>
        <v>3581.5904353141013</v>
      </c>
    </row>
    <row r="23" spans="1:24" ht="12.75">
      <c r="A23" s="19">
        <v>17</v>
      </c>
      <c r="B23" s="22">
        <f>'Prognoserechnung steuerlich'!B23</f>
        <v>2376.3025</v>
      </c>
      <c r="C23" s="7">
        <f>Liquiditätsrechnung!B23*Ausgangsdaten!$B$3</f>
        <v>451.49747499999995</v>
      </c>
      <c r="D23" s="6">
        <f>'Prognoserechnung steuerlich'!D23</f>
        <v>143.88</v>
      </c>
      <c r="E23" s="8">
        <f>'Prognoserechnung steuerlich'!E23</f>
        <v>1128.35</v>
      </c>
      <c r="F23" s="9"/>
      <c r="G23" s="10">
        <f>Ausgangsdaten!$C$14</f>
        <v>0</v>
      </c>
      <c r="H23" s="10">
        <f>Ausgangsdaten!$C$2*Ausgangsdaten!$C$16</f>
        <v>451.34000000000003</v>
      </c>
      <c r="I23" s="8">
        <f t="shared" si="2"/>
        <v>67.70100000000001</v>
      </c>
      <c r="J23" s="11">
        <f t="shared" si="0"/>
        <v>383.79647499999993</v>
      </c>
      <c r="K23" s="6">
        <f t="shared" si="1"/>
        <v>652.7324999999998</v>
      </c>
      <c r="L23" s="26">
        <f>Ausgangsdaten!$C$19</f>
        <v>0.45</v>
      </c>
      <c r="M23" s="11">
        <f t="shared" si="6"/>
        <v>293.72962499999994</v>
      </c>
      <c r="N23" s="31">
        <f t="shared" si="3"/>
        <v>1128.35</v>
      </c>
      <c r="O23" s="8">
        <v>1244.48</v>
      </c>
      <c r="P23" s="34">
        <f t="shared" si="7"/>
        <v>536.6024999999997</v>
      </c>
      <c r="Q23" s="11">
        <f t="shared" si="8"/>
        <v>242.8728749999998</v>
      </c>
      <c r="R23" s="19">
        <v>17</v>
      </c>
      <c r="S23" s="61"/>
      <c r="T23">
        <v>3</v>
      </c>
      <c r="U23" s="4">
        <v>0.03</v>
      </c>
      <c r="W23" s="28">
        <f t="shared" si="4"/>
        <v>3689.0381483735246</v>
      </c>
      <c r="X23" s="28">
        <f t="shared" si="5"/>
        <v>4225.6406483735245</v>
      </c>
    </row>
    <row r="24" spans="1:24" ht="12.75">
      <c r="A24" s="19">
        <v>18</v>
      </c>
      <c r="B24" s="22">
        <f>'Prognoserechnung steuerlich'!B24</f>
        <v>2376.3025</v>
      </c>
      <c r="C24" s="7">
        <f>Liquiditätsrechnung!B24*Ausgangsdaten!$B$3</f>
        <v>451.49747499999995</v>
      </c>
      <c r="D24" s="6">
        <f>'Prognoserechnung steuerlich'!D24</f>
        <v>97.84</v>
      </c>
      <c r="E24" s="8">
        <f>'Prognoserechnung steuerlich'!E24</f>
        <v>1128.35</v>
      </c>
      <c r="F24" s="9"/>
      <c r="G24" s="10">
        <f>Ausgangsdaten!$C$14</f>
        <v>0</v>
      </c>
      <c r="H24" s="10">
        <f>Ausgangsdaten!$C$2*Ausgangsdaten!$C$16</f>
        <v>451.34000000000003</v>
      </c>
      <c r="I24" s="8">
        <f t="shared" si="2"/>
        <v>67.70100000000001</v>
      </c>
      <c r="J24" s="11">
        <f t="shared" si="0"/>
        <v>383.79647499999993</v>
      </c>
      <c r="K24" s="6">
        <f t="shared" si="1"/>
        <v>698.7724999999998</v>
      </c>
      <c r="L24" s="26">
        <f>Ausgangsdaten!$C$19</f>
        <v>0.45</v>
      </c>
      <c r="M24" s="11">
        <f t="shared" si="6"/>
        <v>314.4476249999999</v>
      </c>
      <c r="N24" s="31">
        <f t="shared" si="3"/>
        <v>1128.35</v>
      </c>
      <c r="O24" s="8">
        <v>1244.48</v>
      </c>
      <c r="P24" s="34">
        <f t="shared" si="7"/>
        <v>582.6424999999997</v>
      </c>
      <c r="Q24" s="11">
        <f t="shared" si="8"/>
        <v>268.1948749999998</v>
      </c>
      <c r="R24" s="19">
        <v>18</v>
      </c>
      <c r="S24" s="61"/>
      <c r="T24">
        <v>2</v>
      </c>
      <c r="U24" s="4">
        <v>0.03</v>
      </c>
      <c r="W24" s="28">
        <f t="shared" si="4"/>
        <v>4352.40986782473</v>
      </c>
      <c r="X24" s="28">
        <f t="shared" si="5"/>
        <v>4935.05236782473</v>
      </c>
    </row>
    <row r="25" spans="1:24" ht="13.5" thickBot="1">
      <c r="A25" s="19">
        <v>19</v>
      </c>
      <c r="B25" s="22">
        <f>'Prognoserechnung steuerlich'!B25</f>
        <v>2376.3025</v>
      </c>
      <c r="C25" s="7">
        <f>Liquiditätsrechnung!B25*Ausgangsdaten!$B$3</f>
        <v>451.49747499999995</v>
      </c>
      <c r="D25" s="6">
        <f>'Prognoserechnung steuerlich'!D25</f>
        <v>51.8</v>
      </c>
      <c r="E25" s="8">
        <f>'Prognoserechnung steuerlich'!E25</f>
        <v>1128.35</v>
      </c>
      <c r="F25" s="9"/>
      <c r="G25" s="10">
        <f>Ausgangsdaten!$C$14</f>
        <v>0</v>
      </c>
      <c r="H25" s="10">
        <f>Ausgangsdaten!$C$2*Ausgangsdaten!$C$16</f>
        <v>451.34000000000003</v>
      </c>
      <c r="I25" s="8">
        <f t="shared" si="2"/>
        <v>67.70100000000001</v>
      </c>
      <c r="J25" s="11">
        <f t="shared" si="0"/>
        <v>383.79647499999993</v>
      </c>
      <c r="K25" s="6">
        <f t="shared" si="1"/>
        <v>744.8124999999998</v>
      </c>
      <c r="L25" s="26">
        <f>Ausgangsdaten!$C$19</f>
        <v>0.45</v>
      </c>
      <c r="M25" s="11">
        <f t="shared" si="6"/>
        <v>335.1656249999999</v>
      </c>
      <c r="N25" s="31">
        <f t="shared" si="3"/>
        <v>1128.35</v>
      </c>
      <c r="O25" s="8">
        <v>1244.48</v>
      </c>
      <c r="P25" s="34">
        <f t="shared" si="7"/>
        <v>628.6824999999997</v>
      </c>
      <c r="Q25" s="11">
        <f t="shared" si="8"/>
        <v>293.51687499999974</v>
      </c>
      <c r="R25" s="19">
        <v>19</v>
      </c>
      <c r="S25" s="61"/>
      <c r="T25">
        <v>1</v>
      </c>
      <c r="U25" s="4">
        <v>0.03</v>
      </c>
      <c r="W25" s="28">
        <f t="shared" si="4"/>
        <v>5083.103938859472</v>
      </c>
      <c r="X25" s="28">
        <f t="shared" si="5"/>
        <v>5711.786438859472</v>
      </c>
    </row>
    <row r="26" spans="1:25" ht="13.5" thickBot="1">
      <c r="A26" s="24">
        <v>20</v>
      </c>
      <c r="B26" s="56">
        <f>'Prognoserechnung steuerlich'!B26</f>
        <v>2376.3025</v>
      </c>
      <c r="C26" s="12">
        <f>Liquiditätsrechnung!B26*Ausgangsdaten!$B$3</f>
        <v>451.49747499999995</v>
      </c>
      <c r="D26" s="32">
        <f>'Prognoserechnung steuerlich'!D26</f>
        <v>8.629999999999999</v>
      </c>
      <c r="E26" s="8">
        <f>'Prognoserechnung steuerlich'!E26</f>
        <v>564.175</v>
      </c>
      <c r="F26" s="15"/>
      <c r="G26" s="16">
        <f>Ausgangsdaten!$C$14</f>
        <v>0</v>
      </c>
      <c r="H26" s="16">
        <f>Ausgangsdaten!$C$2*Ausgangsdaten!$C$16</f>
        <v>451.34000000000003</v>
      </c>
      <c r="I26" s="14">
        <f t="shared" si="2"/>
        <v>67.70100000000001</v>
      </c>
      <c r="J26" s="17">
        <f t="shared" si="0"/>
        <v>383.79647499999993</v>
      </c>
      <c r="K26" s="13">
        <f t="shared" si="1"/>
        <v>1352.1574999999996</v>
      </c>
      <c r="L26" s="27">
        <f>Ausgangsdaten!$C$19</f>
        <v>0.45</v>
      </c>
      <c r="M26" s="17">
        <f t="shared" si="6"/>
        <v>608.4708749999999</v>
      </c>
      <c r="N26" s="32">
        <f t="shared" si="3"/>
        <v>564.175</v>
      </c>
      <c r="O26" s="14">
        <f>'Zins-Tilgungsplan'!H83</f>
        <v>622.0799999999999</v>
      </c>
      <c r="P26" s="35">
        <f t="shared" si="7"/>
        <v>1294.2524999999996</v>
      </c>
      <c r="Q26" s="17">
        <f t="shared" si="8"/>
        <v>685.7816249999997</v>
      </c>
      <c r="R26" s="24">
        <v>20</v>
      </c>
      <c r="S26" s="61"/>
      <c r="T26">
        <v>0</v>
      </c>
      <c r="U26" s="4">
        <v>0.03</v>
      </c>
      <c r="W26" s="28">
        <f t="shared" si="4"/>
        <v>5883.140032025256</v>
      </c>
      <c r="X26" s="63">
        <f t="shared" si="5"/>
        <v>7177.392532025256</v>
      </c>
      <c r="Y26" s="4"/>
    </row>
    <row r="27" spans="4:17" ht="12.75">
      <c r="D27" s="9">
        <f>SUM(D6:D26)</f>
        <v>9945.89</v>
      </c>
      <c r="E27" s="2" t="s">
        <v>31</v>
      </c>
      <c r="F27" s="2"/>
      <c r="G27" s="2"/>
      <c r="H27" s="2"/>
      <c r="I27" s="2"/>
      <c r="J27" s="2"/>
      <c r="K27" s="28">
        <f>SUM(K6:K26)</f>
        <v>6723.1712499999985</v>
      </c>
      <c r="M27" s="28">
        <f>SUM(M6:M26)</f>
        <v>3025.4270625</v>
      </c>
      <c r="N27" s="28">
        <f>SUM(N6:N26)</f>
        <v>22566.999999999996</v>
      </c>
      <c r="O27" s="28">
        <f>SUM(O6:O26)</f>
        <v>22566.999999999993</v>
      </c>
      <c r="P27" s="28">
        <f>SUM(P6:P26)</f>
        <v>6723.17125</v>
      </c>
      <c r="Q27" s="28">
        <f>SUM(Q6:Q26)</f>
        <v>3697.7441874999995</v>
      </c>
    </row>
    <row r="28" spans="4:10" ht="12.75">
      <c r="D28" s="2">
        <f>Ausgangsdaten!D26</f>
        <v>846.24</v>
      </c>
      <c r="E28" s="2" t="s">
        <v>33</v>
      </c>
      <c r="F28" s="2"/>
      <c r="G28" s="2"/>
      <c r="H28" s="2"/>
      <c r="I28" s="2"/>
      <c r="J28" s="2"/>
    </row>
    <row r="29" spans="4:17" ht="12.75">
      <c r="D29" s="9">
        <f>D27-D28</f>
        <v>9099.65</v>
      </c>
      <c r="E29" s="2" t="s">
        <v>34</v>
      </c>
      <c r="F29" s="2"/>
      <c r="G29" s="2"/>
      <c r="H29" s="2"/>
      <c r="I29" s="2"/>
      <c r="J29" s="2"/>
      <c r="K29" s="4"/>
      <c r="N29" t="s">
        <v>42</v>
      </c>
      <c r="P29" s="39">
        <f>MIRR(P6:P26,P31,$P$30)</f>
        <v>0.09245762324087847</v>
      </c>
      <c r="Q29" s="39">
        <f>MIRR(Q6:Q26,Q31,$P$30)</f>
        <v>0.08006249796020071</v>
      </c>
    </row>
    <row r="30" spans="13:16" ht="12.75">
      <c r="M30" s="65" t="s">
        <v>71</v>
      </c>
      <c r="N30" t="s">
        <v>72</v>
      </c>
      <c r="P30" s="39">
        <v>0.03</v>
      </c>
    </row>
    <row r="31" spans="14:16" ht="58.5" customHeight="1">
      <c r="N31" s="66" t="s">
        <v>73</v>
      </c>
      <c r="P31" s="67">
        <v>0.1</v>
      </c>
    </row>
    <row r="32" spans="11:16" ht="12.75">
      <c r="K32" s="57"/>
      <c r="N32" t="s">
        <v>62</v>
      </c>
      <c r="P32" s="18">
        <f>-P6</f>
        <v>1911.8087499999967</v>
      </c>
    </row>
    <row r="33" spans="14:16" ht="12.75">
      <c r="N33" t="s">
        <v>63</v>
      </c>
      <c r="P33" s="4">
        <v>0.04</v>
      </c>
    </row>
    <row r="34" spans="14:17" ht="13.5" thickBot="1">
      <c r="N34" t="s">
        <v>64</v>
      </c>
      <c r="P34">
        <v>20</v>
      </c>
      <c r="Q34" t="s">
        <v>13</v>
      </c>
    </row>
    <row r="35" spans="14:17" ht="13.5" thickBot="1">
      <c r="N35" t="s">
        <v>65</v>
      </c>
      <c r="P35" s="64">
        <f>P32*(1+P33)^P34</f>
        <v>4189.008397178789</v>
      </c>
      <c r="Q35" s="68" t="s">
        <v>74</v>
      </c>
    </row>
  </sheetData>
  <mergeCells count="23">
    <mergeCell ref="R4:R5"/>
    <mergeCell ref="N3:P3"/>
    <mergeCell ref="N4:N5"/>
    <mergeCell ref="O4:O5"/>
    <mergeCell ref="P4:P5"/>
    <mergeCell ref="A4:A5"/>
    <mergeCell ref="B4:B5"/>
    <mergeCell ref="C4:C5"/>
    <mergeCell ref="Q4:Q5"/>
    <mergeCell ref="E4:E5"/>
    <mergeCell ref="F4:F5"/>
    <mergeCell ref="G4:G5"/>
    <mergeCell ref="I4:I5"/>
    <mergeCell ref="J4:J5"/>
    <mergeCell ref="H4:H5"/>
    <mergeCell ref="B3:C3"/>
    <mergeCell ref="U1:X2"/>
    <mergeCell ref="K3:M3"/>
    <mergeCell ref="D3:J3"/>
    <mergeCell ref="K4:K5"/>
    <mergeCell ref="L4:L5"/>
    <mergeCell ref="M4:M5"/>
    <mergeCell ref="D4:D5"/>
  </mergeCells>
  <printOptions/>
  <pageMargins left="0.75" right="0.42" top="1" bottom="1" header="0.4921259845" footer="0.4921259845"/>
  <pageSetup fitToHeight="1" fitToWidth="1" horizontalDpi="600" verticalDpi="600" orientation="landscape" paperSize="9" scale="85" r:id="rId1"/>
  <headerFooter alignWithMargins="0">
    <oddHeader>&amp;LWirtschaftlichkeitsrechnung
Photovoltaikanlage&amp;C&amp;A</oddHeader>
    <oddFooter>&amp;L&amp;9(c) Deubner Verlag Köln
Steuerberater-BWL-Assistent
November 2009&amp;R&amp;9Seite &amp;P von&amp;N</oddFooter>
  </headerFooter>
</worksheet>
</file>

<file path=xl/worksheets/sheet4.xml><?xml version="1.0" encoding="utf-8"?>
<worksheet xmlns="http://schemas.openxmlformats.org/spreadsheetml/2006/main" xmlns:r="http://schemas.openxmlformats.org/officeDocument/2006/relationships">
  <dimension ref="A1:I85"/>
  <sheetViews>
    <sheetView workbookViewId="0" topLeftCell="A1">
      <selection activeCell="A4" sqref="A4"/>
    </sheetView>
  </sheetViews>
  <sheetFormatPr defaultColWidth="11.421875" defaultRowHeight="12.75"/>
  <cols>
    <col min="1" max="1" width="9.00390625" style="44" customWidth="1"/>
    <col min="2" max="3" width="9.28125" style="44" customWidth="1"/>
    <col min="4" max="4" width="10.00390625" style="44" customWidth="1"/>
    <col min="5" max="5" width="13.8515625" style="44" customWidth="1"/>
    <col min="6" max="6" width="11.421875" style="44" customWidth="1"/>
    <col min="7" max="7" width="8.7109375" style="44" customWidth="1"/>
    <col min="8" max="9" width="9.57421875" style="44" customWidth="1"/>
    <col min="10" max="16384" width="11.421875" style="44" customWidth="1"/>
  </cols>
  <sheetData>
    <row r="1" spans="1:9" ht="15" customHeight="1">
      <c r="A1" s="103" t="s">
        <v>80</v>
      </c>
      <c r="B1" s="103"/>
      <c r="C1" s="103"/>
      <c r="D1" s="103"/>
      <c r="E1" s="103"/>
      <c r="F1" s="103"/>
      <c r="G1" s="103"/>
      <c r="H1" s="103"/>
      <c r="I1" s="103"/>
    </row>
    <row r="2" spans="1:9" ht="75" customHeight="1" thickBot="1">
      <c r="A2" s="103"/>
      <c r="B2" s="103"/>
      <c r="C2" s="103"/>
      <c r="D2" s="103"/>
      <c r="E2" s="103"/>
      <c r="F2" s="103"/>
      <c r="G2" s="103"/>
      <c r="H2" s="103"/>
      <c r="I2" s="103"/>
    </row>
    <row r="3" spans="1:9" ht="23.25" thickBot="1">
      <c r="A3" s="53" t="s">
        <v>54</v>
      </c>
      <c r="B3" s="54" t="s">
        <v>55</v>
      </c>
      <c r="C3" s="54" t="s">
        <v>56</v>
      </c>
      <c r="D3" s="54" t="s">
        <v>57</v>
      </c>
      <c r="E3" s="54" t="s">
        <v>58</v>
      </c>
      <c r="F3" s="55" t="s">
        <v>59</v>
      </c>
      <c r="G3" s="55" t="s">
        <v>53</v>
      </c>
      <c r="H3" s="55" t="s">
        <v>55</v>
      </c>
      <c r="I3" s="55" t="s">
        <v>58</v>
      </c>
    </row>
    <row r="4" spans="1:9" ht="13.5" thickBot="1">
      <c r="A4" s="45">
        <v>1</v>
      </c>
      <c r="B4" s="46">
        <v>0</v>
      </c>
      <c r="C4" s="46">
        <v>195.69</v>
      </c>
      <c r="D4" s="46">
        <v>195.69</v>
      </c>
      <c r="E4" s="47">
        <v>21156</v>
      </c>
      <c r="H4" s="48"/>
      <c r="I4" s="48">
        <v>21156</v>
      </c>
    </row>
    <row r="5" spans="1:9" ht="13.5" thickBot="1">
      <c r="A5" s="45">
        <v>2</v>
      </c>
      <c r="B5" s="46">
        <v>0</v>
      </c>
      <c r="C5" s="46">
        <v>195.69</v>
      </c>
      <c r="D5" s="46">
        <v>195.69</v>
      </c>
      <c r="E5" s="47">
        <v>21156</v>
      </c>
      <c r="F5" s="49">
        <v>40178</v>
      </c>
      <c r="G5" s="44">
        <f>SUM(C4:C5)</f>
        <v>391.38</v>
      </c>
      <c r="H5" s="44">
        <f>SUM(D4:D5)-G5</f>
        <v>0</v>
      </c>
      <c r="I5" s="48">
        <f>I4-H5</f>
        <v>21156</v>
      </c>
    </row>
    <row r="6" spans="1:6" ht="13.5" thickBot="1">
      <c r="A6" s="45">
        <v>3</v>
      </c>
      <c r="B6" s="46">
        <v>0</v>
      </c>
      <c r="C6" s="46">
        <v>195.69</v>
      </c>
      <c r="D6" s="46">
        <v>195.69</v>
      </c>
      <c r="E6" s="47">
        <v>21156</v>
      </c>
      <c r="F6" s="49">
        <v>40268</v>
      </c>
    </row>
    <row r="7" spans="1:6" ht="13.5" thickBot="1">
      <c r="A7" s="45">
        <v>4</v>
      </c>
      <c r="B7" s="46">
        <v>0</v>
      </c>
      <c r="C7" s="46">
        <v>195.69</v>
      </c>
      <c r="D7" s="46">
        <v>195.69</v>
      </c>
      <c r="E7" s="47">
        <v>21156</v>
      </c>
      <c r="F7" s="49">
        <v>40359</v>
      </c>
    </row>
    <row r="8" spans="1:6" ht="13.5" thickBot="1">
      <c r="A8" s="45">
        <v>5</v>
      </c>
      <c r="B8" s="46">
        <v>0</v>
      </c>
      <c r="C8" s="46">
        <v>195.69</v>
      </c>
      <c r="D8" s="46">
        <v>195.69</v>
      </c>
      <c r="E8" s="47">
        <v>21156</v>
      </c>
      <c r="F8" s="49">
        <v>40451</v>
      </c>
    </row>
    <row r="9" spans="1:9" ht="13.5" thickBot="1">
      <c r="A9" s="45">
        <v>6</v>
      </c>
      <c r="B9" s="46">
        <v>0</v>
      </c>
      <c r="C9" s="46">
        <v>195.69</v>
      </c>
      <c r="D9" s="46">
        <v>195.69</v>
      </c>
      <c r="E9" s="47">
        <v>21156</v>
      </c>
      <c r="F9" s="49">
        <v>40543</v>
      </c>
      <c r="G9" s="44">
        <f>SUM(C6:C9)</f>
        <v>782.76</v>
      </c>
      <c r="H9" s="44">
        <f>SUM(D6:D9)-G9</f>
        <v>0</v>
      </c>
      <c r="I9" s="48">
        <f>I5-H9</f>
        <v>21156</v>
      </c>
    </row>
    <row r="10" spans="1:6" ht="13.5" thickBot="1">
      <c r="A10" s="45">
        <v>7</v>
      </c>
      <c r="B10" s="46">
        <v>0</v>
      </c>
      <c r="C10" s="46">
        <v>195.69</v>
      </c>
      <c r="D10" s="46">
        <v>195.69</v>
      </c>
      <c r="E10" s="47">
        <v>21156</v>
      </c>
      <c r="F10" s="49">
        <v>40633</v>
      </c>
    </row>
    <row r="11" spans="1:6" ht="13.5" thickBot="1">
      <c r="A11" s="45">
        <v>8</v>
      </c>
      <c r="B11" s="46">
        <v>0</v>
      </c>
      <c r="C11" s="46">
        <v>195.69</v>
      </c>
      <c r="D11" s="46">
        <v>195.69</v>
      </c>
      <c r="E11" s="47">
        <v>21156</v>
      </c>
      <c r="F11" s="49">
        <v>40724</v>
      </c>
    </row>
    <row r="12" spans="1:6" ht="13.5" thickBot="1">
      <c r="A12" s="45">
        <v>9</v>
      </c>
      <c r="B12" s="46">
        <v>0</v>
      </c>
      <c r="C12" s="46">
        <v>195.69</v>
      </c>
      <c r="D12" s="46">
        <v>195.69</v>
      </c>
      <c r="E12" s="47">
        <v>21156</v>
      </c>
      <c r="F12" s="49">
        <v>40816</v>
      </c>
    </row>
    <row r="13" spans="1:9" ht="13.5" thickBot="1">
      <c r="A13" s="45">
        <v>10</v>
      </c>
      <c r="B13" s="46">
        <v>0</v>
      </c>
      <c r="C13" s="46">
        <v>195.69</v>
      </c>
      <c r="D13" s="46">
        <v>195.69</v>
      </c>
      <c r="E13" s="47">
        <v>21156</v>
      </c>
      <c r="F13" s="49">
        <v>40908</v>
      </c>
      <c r="G13" s="44">
        <f>SUM(C10:C13)</f>
        <v>782.76</v>
      </c>
      <c r="H13" s="44">
        <f>SUM(D10:D13)-G13</f>
        <v>0</v>
      </c>
      <c r="I13" s="48">
        <f>I9-H13</f>
        <v>21156</v>
      </c>
    </row>
    <row r="14" spans="1:6" ht="13.5" thickBot="1">
      <c r="A14" s="45">
        <v>11</v>
      </c>
      <c r="B14" s="46">
        <v>0</v>
      </c>
      <c r="C14" s="46">
        <v>195.69</v>
      </c>
      <c r="D14" s="46">
        <v>195.69</v>
      </c>
      <c r="E14" s="47">
        <v>21156</v>
      </c>
      <c r="F14" s="49">
        <v>40999</v>
      </c>
    </row>
    <row r="15" spans="1:6" ht="13.5" thickBot="1">
      <c r="A15" s="45">
        <v>12</v>
      </c>
      <c r="B15" s="46">
        <v>0</v>
      </c>
      <c r="C15" s="46">
        <v>195.69</v>
      </c>
      <c r="D15" s="46">
        <v>195.69</v>
      </c>
      <c r="E15" s="47">
        <v>21156</v>
      </c>
      <c r="F15" s="49">
        <v>41090</v>
      </c>
    </row>
    <row r="16" spans="1:6" ht="13.5" thickBot="1">
      <c r="A16" s="45">
        <v>13</v>
      </c>
      <c r="B16" s="46">
        <v>311.12</v>
      </c>
      <c r="C16" s="46">
        <v>195.69</v>
      </c>
      <c r="D16" s="46">
        <v>506.81</v>
      </c>
      <c r="E16" s="47">
        <v>20844.88</v>
      </c>
      <c r="F16" s="49">
        <v>41182</v>
      </c>
    </row>
    <row r="17" spans="1:9" ht="13.5" thickBot="1">
      <c r="A17" s="45">
        <v>14</v>
      </c>
      <c r="B17" s="46">
        <v>311.12</v>
      </c>
      <c r="C17" s="46">
        <v>192.82</v>
      </c>
      <c r="D17" s="46">
        <v>503.94</v>
      </c>
      <c r="E17" s="47">
        <v>20533.76</v>
      </c>
      <c r="F17" s="49">
        <v>41274</v>
      </c>
      <c r="G17" s="44">
        <f>SUM(C14:C17)</f>
        <v>779.8899999999999</v>
      </c>
      <c r="H17" s="44">
        <f>SUM(D14:D17)-G17</f>
        <v>622.2400000000002</v>
      </c>
      <c r="I17" s="48">
        <f>I13-H17</f>
        <v>20533.76</v>
      </c>
    </row>
    <row r="18" spans="1:6" ht="13.5" thickBot="1">
      <c r="A18" s="45">
        <v>15</v>
      </c>
      <c r="B18" s="46">
        <v>311.12</v>
      </c>
      <c r="C18" s="46">
        <v>189.94</v>
      </c>
      <c r="D18" s="46">
        <v>501.06</v>
      </c>
      <c r="E18" s="47">
        <v>20222.64</v>
      </c>
      <c r="F18" s="49">
        <v>41364</v>
      </c>
    </row>
    <row r="19" spans="1:6" ht="13.5" thickBot="1">
      <c r="A19" s="45">
        <v>16</v>
      </c>
      <c r="B19" s="46">
        <v>311.12</v>
      </c>
      <c r="C19" s="46">
        <v>187.06</v>
      </c>
      <c r="D19" s="46">
        <v>498.18</v>
      </c>
      <c r="E19" s="47">
        <v>19911.52</v>
      </c>
      <c r="F19" s="49">
        <v>41455</v>
      </c>
    </row>
    <row r="20" spans="1:6" ht="13.5" thickBot="1">
      <c r="A20" s="45">
        <v>17</v>
      </c>
      <c r="B20" s="46">
        <v>311.12</v>
      </c>
      <c r="C20" s="46">
        <v>184.18</v>
      </c>
      <c r="D20" s="46">
        <v>495.3</v>
      </c>
      <c r="E20" s="47">
        <v>19600.4</v>
      </c>
      <c r="F20" s="49">
        <v>41547</v>
      </c>
    </row>
    <row r="21" spans="1:9" ht="13.5" thickBot="1">
      <c r="A21" s="45">
        <v>18</v>
      </c>
      <c r="B21" s="46">
        <v>311.12</v>
      </c>
      <c r="C21" s="46">
        <v>181.3</v>
      </c>
      <c r="D21" s="46">
        <v>492.42</v>
      </c>
      <c r="E21" s="47">
        <v>19289.28</v>
      </c>
      <c r="F21" s="49">
        <v>41639</v>
      </c>
      <c r="G21" s="44">
        <f>SUM(C18:C21)</f>
        <v>742.48</v>
      </c>
      <c r="H21" s="44">
        <f>SUM(D18:D21)-G21</f>
        <v>1244.48</v>
      </c>
      <c r="I21" s="48">
        <f>I17-H21</f>
        <v>19289.28</v>
      </c>
    </row>
    <row r="22" spans="1:6" ht="13.5" thickBot="1">
      <c r="A22" s="45">
        <v>19</v>
      </c>
      <c r="B22" s="46">
        <v>311.12</v>
      </c>
      <c r="C22" s="46">
        <v>178.43</v>
      </c>
      <c r="D22" s="46">
        <v>489.55</v>
      </c>
      <c r="E22" s="47">
        <v>18978.16</v>
      </c>
      <c r="F22" s="49">
        <v>41729</v>
      </c>
    </row>
    <row r="23" spans="1:6" ht="13.5" thickBot="1">
      <c r="A23" s="45">
        <v>20</v>
      </c>
      <c r="B23" s="46">
        <v>311.12</v>
      </c>
      <c r="C23" s="46">
        <v>175.55</v>
      </c>
      <c r="D23" s="46">
        <v>486.67</v>
      </c>
      <c r="E23" s="47">
        <v>18667.04</v>
      </c>
      <c r="F23" s="49">
        <v>41820</v>
      </c>
    </row>
    <row r="24" spans="1:6" ht="13.5" thickBot="1">
      <c r="A24" s="45">
        <v>21</v>
      </c>
      <c r="B24" s="46">
        <v>311.12</v>
      </c>
      <c r="C24" s="46">
        <v>172.67</v>
      </c>
      <c r="D24" s="46">
        <v>483.79</v>
      </c>
      <c r="E24" s="47">
        <v>18355.92</v>
      </c>
      <c r="F24" s="49">
        <v>41912</v>
      </c>
    </row>
    <row r="25" spans="1:9" ht="13.5" thickBot="1">
      <c r="A25" s="45">
        <v>22</v>
      </c>
      <c r="B25" s="46">
        <v>311.12</v>
      </c>
      <c r="C25" s="46">
        <v>169.79</v>
      </c>
      <c r="D25" s="46">
        <v>480.91</v>
      </c>
      <c r="E25" s="47">
        <v>18044.8</v>
      </c>
      <c r="F25" s="49">
        <v>42004</v>
      </c>
      <c r="G25" s="44">
        <f>SUM(C22:C25)</f>
        <v>696.4399999999999</v>
      </c>
      <c r="H25" s="44">
        <f>SUM(D22:D25)-G25</f>
        <v>1244.48</v>
      </c>
      <c r="I25" s="48">
        <f>I21-H25</f>
        <v>18044.8</v>
      </c>
    </row>
    <row r="26" spans="1:6" ht="13.5" thickBot="1">
      <c r="A26" s="45">
        <v>23</v>
      </c>
      <c r="B26" s="46">
        <v>311.12</v>
      </c>
      <c r="C26" s="46">
        <v>166.91</v>
      </c>
      <c r="D26" s="46">
        <v>478.03</v>
      </c>
      <c r="E26" s="47">
        <v>17733.68</v>
      </c>
      <c r="F26" s="49">
        <v>42094</v>
      </c>
    </row>
    <row r="27" spans="1:6" ht="13.5" thickBot="1">
      <c r="A27" s="45">
        <v>24</v>
      </c>
      <c r="B27" s="46">
        <v>311.12</v>
      </c>
      <c r="C27" s="46">
        <v>164.04</v>
      </c>
      <c r="D27" s="46">
        <v>475.16</v>
      </c>
      <c r="E27" s="47">
        <v>17422.56</v>
      </c>
      <c r="F27" s="49">
        <v>42185</v>
      </c>
    </row>
    <row r="28" spans="1:6" ht="13.5" thickBot="1">
      <c r="A28" s="45">
        <v>25</v>
      </c>
      <c r="B28" s="46">
        <v>311.12</v>
      </c>
      <c r="C28" s="46">
        <v>161.16</v>
      </c>
      <c r="D28" s="46">
        <v>472.28</v>
      </c>
      <c r="E28" s="47">
        <v>17111.44</v>
      </c>
      <c r="F28" s="49">
        <v>42277</v>
      </c>
    </row>
    <row r="29" spans="1:9" ht="13.5" thickBot="1">
      <c r="A29" s="45">
        <v>26</v>
      </c>
      <c r="B29" s="46">
        <v>311.12</v>
      </c>
      <c r="C29" s="46">
        <v>158.28</v>
      </c>
      <c r="D29" s="46">
        <v>469.4</v>
      </c>
      <c r="E29" s="47">
        <v>16800.32</v>
      </c>
      <c r="F29" s="49">
        <v>42369</v>
      </c>
      <c r="G29" s="44">
        <f>SUM(C26:C29)</f>
        <v>650.39</v>
      </c>
      <c r="H29" s="44">
        <f>SUM(D26:D29)-G29</f>
        <v>1244.48</v>
      </c>
      <c r="I29" s="48">
        <f>I25-H29</f>
        <v>16800.32</v>
      </c>
    </row>
    <row r="30" spans="1:6" ht="13.5" thickBot="1">
      <c r="A30" s="45">
        <v>27</v>
      </c>
      <c r="B30" s="46">
        <v>311.12</v>
      </c>
      <c r="C30" s="46">
        <v>155.4</v>
      </c>
      <c r="D30" s="46">
        <v>466.52</v>
      </c>
      <c r="E30" s="47">
        <v>16489.2</v>
      </c>
      <c r="F30" s="49">
        <v>42460</v>
      </c>
    </row>
    <row r="31" spans="1:6" ht="13.5" thickBot="1">
      <c r="A31" s="45">
        <v>28</v>
      </c>
      <c r="B31" s="46">
        <v>311.12</v>
      </c>
      <c r="C31" s="46">
        <v>152.53</v>
      </c>
      <c r="D31" s="46">
        <v>463.65</v>
      </c>
      <c r="E31" s="47">
        <v>16178.08</v>
      </c>
      <c r="F31" s="49">
        <v>42551</v>
      </c>
    </row>
    <row r="32" spans="1:6" ht="13.5" thickBot="1">
      <c r="A32" s="45">
        <v>29</v>
      </c>
      <c r="B32" s="46">
        <v>311.12</v>
      </c>
      <c r="C32" s="46">
        <v>149.65</v>
      </c>
      <c r="D32" s="46">
        <v>460.77</v>
      </c>
      <c r="E32" s="47">
        <v>15866.96</v>
      </c>
      <c r="F32" s="49">
        <v>42643</v>
      </c>
    </row>
    <row r="33" spans="1:9" ht="13.5" thickBot="1">
      <c r="A33" s="45">
        <v>30</v>
      </c>
      <c r="B33" s="46">
        <v>311.12</v>
      </c>
      <c r="C33" s="46">
        <v>146.77</v>
      </c>
      <c r="D33" s="46">
        <v>457.89</v>
      </c>
      <c r="E33" s="47">
        <v>15555.84</v>
      </c>
      <c r="F33" s="49">
        <v>42735</v>
      </c>
      <c r="G33" s="44">
        <f>SUM(C30:C33)</f>
        <v>604.35</v>
      </c>
      <c r="H33" s="44">
        <f>SUM(D30:D33)-G33</f>
        <v>1244.48</v>
      </c>
      <c r="I33" s="48">
        <f>I29-H33</f>
        <v>15555.84</v>
      </c>
    </row>
    <row r="34" spans="1:6" ht="13.5" thickBot="1">
      <c r="A34" s="45">
        <v>31</v>
      </c>
      <c r="B34" s="46">
        <v>311.12</v>
      </c>
      <c r="C34" s="46">
        <v>143.89</v>
      </c>
      <c r="D34" s="46">
        <v>455.01</v>
      </c>
      <c r="E34" s="47">
        <v>15244.72</v>
      </c>
      <c r="F34" s="49">
        <v>42825</v>
      </c>
    </row>
    <row r="35" spans="1:6" ht="13.5" thickBot="1">
      <c r="A35" s="45">
        <v>32</v>
      </c>
      <c r="B35" s="46">
        <v>311.12</v>
      </c>
      <c r="C35" s="46">
        <v>141.01</v>
      </c>
      <c r="D35" s="46">
        <v>452.13</v>
      </c>
      <c r="E35" s="47">
        <v>14933.6</v>
      </c>
      <c r="F35" s="49">
        <v>42916</v>
      </c>
    </row>
    <row r="36" spans="1:6" ht="13.5" thickBot="1">
      <c r="A36" s="45">
        <v>33</v>
      </c>
      <c r="B36" s="46">
        <v>311.12</v>
      </c>
      <c r="C36" s="46">
        <v>138.14</v>
      </c>
      <c r="D36" s="46">
        <v>449.26</v>
      </c>
      <c r="E36" s="47">
        <v>14622.48</v>
      </c>
      <c r="F36" s="49">
        <v>43008</v>
      </c>
    </row>
    <row r="37" spans="1:9" ht="13.5" thickBot="1">
      <c r="A37" s="45">
        <v>34</v>
      </c>
      <c r="B37" s="46">
        <v>311.12</v>
      </c>
      <c r="C37" s="46">
        <v>135.26</v>
      </c>
      <c r="D37" s="46">
        <v>446.38</v>
      </c>
      <c r="E37" s="47">
        <v>14311.36</v>
      </c>
      <c r="F37" s="49">
        <v>43100</v>
      </c>
      <c r="G37" s="44">
        <f>SUM(C34:C37)</f>
        <v>558.3</v>
      </c>
      <c r="H37" s="44">
        <f>SUM(D34:D37)-G37</f>
        <v>1244.4800000000002</v>
      </c>
      <c r="I37" s="48">
        <f>I33-H37</f>
        <v>14311.36</v>
      </c>
    </row>
    <row r="38" spans="1:6" ht="13.5" thickBot="1">
      <c r="A38" s="45">
        <v>35</v>
      </c>
      <c r="B38" s="46">
        <v>311.12</v>
      </c>
      <c r="C38" s="46">
        <v>132.38</v>
      </c>
      <c r="D38" s="46">
        <v>443.5</v>
      </c>
      <c r="E38" s="47">
        <v>14000.24</v>
      </c>
      <c r="F38" s="49">
        <v>43190</v>
      </c>
    </row>
    <row r="39" spans="1:6" ht="13.5" thickBot="1">
      <c r="A39" s="45">
        <v>36</v>
      </c>
      <c r="B39" s="46">
        <v>311.12</v>
      </c>
      <c r="C39" s="46">
        <v>129.5</v>
      </c>
      <c r="D39" s="46">
        <v>440.62</v>
      </c>
      <c r="E39" s="47">
        <v>13689.12</v>
      </c>
      <c r="F39" s="49">
        <v>43281</v>
      </c>
    </row>
    <row r="40" spans="1:6" ht="13.5" thickBot="1">
      <c r="A40" s="45">
        <v>37</v>
      </c>
      <c r="B40" s="46">
        <v>311.12</v>
      </c>
      <c r="C40" s="46">
        <v>126.62</v>
      </c>
      <c r="D40" s="46">
        <v>437.74</v>
      </c>
      <c r="E40" s="47">
        <v>13378</v>
      </c>
      <c r="F40" s="49">
        <v>43373</v>
      </c>
    </row>
    <row r="41" spans="1:9" ht="13.5" thickBot="1">
      <c r="A41" s="45">
        <v>38</v>
      </c>
      <c r="B41" s="46">
        <v>311.12</v>
      </c>
      <c r="C41" s="46">
        <v>123.75</v>
      </c>
      <c r="D41" s="46">
        <v>434.87</v>
      </c>
      <c r="E41" s="47">
        <v>13066.88</v>
      </c>
      <c r="F41" s="49">
        <v>43465</v>
      </c>
      <c r="G41" s="44">
        <f>SUM(C38:C41)</f>
        <v>512.25</v>
      </c>
      <c r="H41" s="44">
        <f>SUM(D38:D41)-G41</f>
        <v>1244.48</v>
      </c>
      <c r="I41" s="48">
        <f>I37-H41</f>
        <v>13066.880000000001</v>
      </c>
    </row>
    <row r="42" spans="1:6" ht="13.5" thickBot="1">
      <c r="A42" s="45">
        <v>39</v>
      </c>
      <c r="B42" s="46">
        <v>311.12</v>
      </c>
      <c r="C42" s="46">
        <v>120.87</v>
      </c>
      <c r="D42" s="46">
        <v>431.99</v>
      </c>
      <c r="E42" s="47">
        <v>12755.76</v>
      </c>
      <c r="F42" s="49">
        <v>43555</v>
      </c>
    </row>
    <row r="43" spans="1:6" ht="13.5" thickBot="1">
      <c r="A43" s="45">
        <v>40</v>
      </c>
      <c r="B43" s="46">
        <v>311.12</v>
      </c>
      <c r="C43" s="46">
        <v>117.99</v>
      </c>
      <c r="D43" s="46">
        <v>429.11</v>
      </c>
      <c r="E43" s="47">
        <v>12444.64</v>
      </c>
      <c r="F43" s="49">
        <v>43646</v>
      </c>
    </row>
    <row r="44" spans="1:6" ht="13.5" thickBot="1">
      <c r="A44" s="45">
        <v>41</v>
      </c>
      <c r="B44" s="46">
        <v>311.12</v>
      </c>
      <c r="C44" s="46">
        <v>115.11</v>
      </c>
      <c r="D44" s="46">
        <v>426.23</v>
      </c>
      <c r="E44" s="47">
        <v>12133.52</v>
      </c>
      <c r="F44" s="49">
        <v>43738</v>
      </c>
    </row>
    <row r="45" spans="1:9" ht="13.5" thickBot="1">
      <c r="A45" s="45">
        <v>42</v>
      </c>
      <c r="B45" s="46">
        <v>311.12</v>
      </c>
      <c r="C45" s="46">
        <v>112.24</v>
      </c>
      <c r="D45" s="46">
        <v>423.36</v>
      </c>
      <c r="E45" s="47">
        <v>11822.4</v>
      </c>
      <c r="F45" s="49">
        <v>43830</v>
      </c>
      <c r="G45" s="44">
        <f>SUM(C42:C45)</f>
        <v>466.21000000000004</v>
      </c>
      <c r="H45" s="44">
        <f>SUM(D42:D45)-G45</f>
        <v>1244.48</v>
      </c>
      <c r="I45" s="48">
        <f>I41-H45</f>
        <v>11822.400000000001</v>
      </c>
    </row>
    <row r="46" spans="1:6" ht="13.5" thickBot="1">
      <c r="A46" s="45">
        <v>43</v>
      </c>
      <c r="B46" s="46">
        <v>311.12</v>
      </c>
      <c r="C46" s="46">
        <v>109.36</v>
      </c>
      <c r="D46" s="46">
        <v>420.48</v>
      </c>
      <c r="E46" s="47">
        <v>11511.28</v>
      </c>
      <c r="F46" s="49">
        <v>43921</v>
      </c>
    </row>
    <row r="47" spans="1:6" ht="13.5" thickBot="1">
      <c r="A47" s="45">
        <v>44</v>
      </c>
      <c r="B47" s="46">
        <v>311.12</v>
      </c>
      <c r="C47" s="46">
        <v>106.48</v>
      </c>
      <c r="D47" s="46">
        <v>417.6</v>
      </c>
      <c r="E47" s="47">
        <v>11200.16</v>
      </c>
      <c r="F47" s="49">
        <v>44012</v>
      </c>
    </row>
    <row r="48" spans="1:6" ht="13.5" thickBot="1">
      <c r="A48" s="45">
        <v>45</v>
      </c>
      <c r="B48" s="46">
        <v>311.12</v>
      </c>
      <c r="C48" s="46">
        <v>103.6</v>
      </c>
      <c r="D48" s="46">
        <v>414.72</v>
      </c>
      <c r="E48" s="47">
        <v>10889.04</v>
      </c>
      <c r="F48" s="49">
        <v>44104</v>
      </c>
    </row>
    <row r="49" spans="1:9" ht="13.5" thickBot="1">
      <c r="A49" s="45">
        <v>46</v>
      </c>
      <c r="B49" s="46">
        <v>311.12</v>
      </c>
      <c r="C49" s="46">
        <v>100.72</v>
      </c>
      <c r="D49" s="46">
        <v>411.84</v>
      </c>
      <c r="E49" s="47">
        <v>10577.92</v>
      </c>
      <c r="F49" s="49">
        <v>44196</v>
      </c>
      <c r="G49" s="44">
        <f>SUM(C46:C49)</f>
        <v>420.15999999999997</v>
      </c>
      <c r="H49" s="44">
        <f>SUM(D46:D49)-G49</f>
        <v>1244.48</v>
      </c>
      <c r="I49" s="48">
        <f>I45-H49</f>
        <v>10577.920000000002</v>
      </c>
    </row>
    <row r="50" spans="1:6" ht="13.5" thickBot="1">
      <c r="A50" s="45">
        <v>47</v>
      </c>
      <c r="B50" s="46">
        <v>311.12</v>
      </c>
      <c r="C50" s="46">
        <v>97.85</v>
      </c>
      <c r="D50" s="46">
        <v>408.97</v>
      </c>
      <c r="E50" s="47">
        <v>10266.8</v>
      </c>
      <c r="F50" s="49">
        <v>44286</v>
      </c>
    </row>
    <row r="51" spans="1:6" ht="13.5" thickBot="1">
      <c r="A51" s="45">
        <v>48</v>
      </c>
      <c r="B51" s="46">
        <v>311.12</v>
      </c>
      <c r="C51" s="46">
        <v>94.97</v>
      </c>
      <c r="D51" s="46">
        <v>406.09</v>
      </c>
      <c r="E51" s="47">
        <v>9955.68</v>
      </c>
      <c r="F51" s="49">
        <v>44377</v>
      </c>
    </row>
    <row r="52" spans="1:6" ht="13.5" thickBot="1">
      <c r="A52" s="45">
        <v>49</v>
      </c>
      <c r="B52" s="46">
        <v>311.12</v>
      </c>
      <c r="C52" s="46">
        <v>92.09</v>
      </c>
      <c r="D52" s="46">
        <v>403.21</v>
      </c>
      <c r="E52" s="47">
        <v>9644.56</v>
      </c>
      <c r="F52" s="49">
        <v>44469</v>
      </c>
    </row>
    <row r="53" spans="1:9" ht="13.5" thickBot="1">
      <c r="A53" s="45">
        <v>50</v>
      </c>
      <c r="B53" s="46">
        <v>311.12</v>
      </c>
      <c r="C53" s="46">
        <v>89.21</v>
      </c>
      <c r="D53" s="46">
        <v>400.33</v>
      </c>
      <c r="E53" s="47">
        <v>9333.44</v>
      </c>
      <c r="F53" s="49">
        <v>44561</v>
      </c>
      <c r="G53" s="44">
        <f>SUM(C50:C53)</f>
        <v>374.11999999999995</v>
      </c>
      <c r="H53" s="44">
        <f>SUM(D50:D53)-G53</f>
        <v>1244.48</v>
      </c>
      <c r="I53" s="48">
        <f>I49-H53</f>
        <v>9333.440000000002</v>
      </c>
    </row>
    <row r="54" spans="1:6" ht="13.5" thickBot="1">
      <c r="A54" s="45">
        <v>51</v>
      </c>
      <c r="B54" s="46">
        <v>311.12</v>
      </c>
      <c r="C54" s="46">
        <v>86.33</v>
      </c>
      <c r="D54" s="46">
        <v>397.45</v>
      </c>
      <c r="E54" s="47">
        <v>9022.32</v>
      </c>
      <c r="F54" s="49">
        <v>44651</v>
      </c>
    </row>
    <row r="55" spans="1:6" ht="13.5" thickBot="1">
      <c r="A55" s="45">
        <v>52</v>
      </c>
      <c r="B55" s="46">
        <v>311.12</v>
      </c>
      <c r="C55" s="46">
        <v>83.46</v>
      </c>
      <c r="D55" s="46">
        <v>394.58</v>
      </c>
      <c r="E55" s="47">
        <v>8711.2</v>
      </c>
      <c r="F55" s="49">
        <v>44742</v>
      </c>
    </row>
    <row r="56" spans="1:6" ht="13.5" thickBot="1">
      <c r="A56" s="45">
        <v>53</v>
      </c>
      <c r="B56" s="46">
        <v>311.12</v>
      </c>
      <c r="C56" s="46">
        <v>80.58</v>
      </c>
      <c r="D56" s="46">
        <v>391.7</v>
      </c>
      <c r="E56" s="47">
        <v>8400.08</v>
      </c>
      <c r="F56" s="49">
        <v>44834</v>
      </c>
    </row>
    <row r="57" spans="1:9" ht="13.5" thickBot="1">
      <c r="A57" s="45">
        <v>54</v>
      </c>
      <c r="B57" s="46">
        <v>311.12</v>
      </c>
      <c r="C57" s="46">
        <v>77.7</v>
      </c>
      <c r="D57" s="46">
        <v>388.82</v>
      </c>
      <c r="E57" s="47">
        <v>8088.96</v>
      </c>
      <c r="F57" s="49">
        <v>44926</v>
      </c>
      <c r="G57" s="44">
        <f>SUM(C54:C57)</f>
        <v>328.07</v>
      </c>
      <c r="H57" s="44">
        <f>SUM(D54:D57)-G57</f>
        <v>1244.48</v>
      </c>
      <c r="I57" s="48">
        <f>I53-H57</f>
        <v>8088.960000000003</v>
      </c>
    </row>
    <row r="58" spans="1:6" ht="13.5" thickBot="1">
      <c r="A58" s="45">
        <v>55</v>
      </c>
      <c r="B58" s="46">
        <v>311.12</v>
      </c>
      <c r="C58" s="46">
        <v>74.82</v>
      </c>
      <c r="D58" s="46">
        <v>385.94</v>
      </c>
      <c r="E58" s="47">
        <v>7777.84</v>
      </c>
      <c r="F58" s="49">
        <v>45016</v>
      </c>
    </row>
    <row r="59" spans="1:6" ht="13.5" thickBot="1">
      <c r="A59" s="45">
        <v>56</v>
      </c>
      <c r="B59" s="46">
        <v>311.12</v>
      </c>
      <c r="C59" s="46">
        <v>71.95</v>
      </c>
      <c r="D59" s="46">
        <v>383.07</v>
      </c>
      <c r="E59" s="47">
        <v>7466.72</v>
      </c>
      <c r="F59" s="49">
        <v>45107</v>
      </c>
    </row>
    <row r="60" spans="1:6" ht="13.5" thickBot="1">
      <c r="A60" s="45">
        <v>57</v>
      </c>
      <c r="B60" s="46">
        <v>311.12</v>
      </c>
      <c r="C60" s="46">
        <v>69.07</v>
      </c>
      <c r="D60" s="46">
        <v>380.19</v>
      </c>
      <c r="E60" s="47">
        <v>7155.6</v>
      </c>
      <c r="F60" s="49">
        <v>45199</v>
      </c>
    </row>
    <row r="61" spans="1:9" ht="13.5" thickBot="1">
      <c r="A61" s="45">
        <v>58</v>
      </c>
      <c r="B61" s="46">
        <v>311.12</v>
      </c>
      <c r="C61" s="46">
        <v>66.19</v>
      </c>
      <c r="D61" s="46">
        <v>377.31</v>
      </c>
      <c r="E61" s="47">
        <v>6844.48</v>
      </c>
      <c r="F61" s="49">
        <v>45291</v>
      </c>
      <c r="G61" s="44">
        <f>SUM(C58:C61)</f>
        <v>282.03</v>
      </c>
      <c r="H61" s="44">
        <f>SUM(D58:D61)-G61</f>
        <v>1244.48</v>
      </c>
      <c r="I61" s="48">
        <f>I57-H61</f>
        <v>6844.480000000003</v>
      </c>
    </row>
    <row r="62" spans="1:6" ht="13.5" thickBot="1">
      <c r="A62" s="45">
        <v>59</v>
      </c>
      <c r="B62" s="46">
        <v>311.12</v>
      </c>
      <c r="C62" s="46">
        <v>63.31</v>
      </c>
      <c r="D62" s="46">
        <v>374.43</v>
      </c>
      <c r="E62" s="47">
        <v>6533.36</v>
      </c>
      <c r="F62" s="49">
        <v>45382</v>
      </c>
    </row>
    <row r="63" spans="1:6" ht="13.5" thickBot="1">
      <c r="A63" s="45">
        <v>60</v>
      </c>
      <c r="B63" s="46">
        <v>311.12</v>
      </c>
      <c r="C63" s="46">
        <v>60.43</v>
      </c>
      <c r="D63" s="46">
        <v>371.55</v>
      </c>
      <c r="E63" s="47">
        <v>6222.24</v>
      </c>
      <c r="F63" s="49">
        <v>45473</v>
      </c>
    </row>
    <row r="64" spans="1:6" ht="13.5" thickBot="1">
      <c r="A64" s="45">
        <v>61</v>
      </c>
      <c r="B64" s="46">
        <v>311.12</v>
      </c>
      <c r="C64" s="46">
        <v>57.56</v>
      </c>
      <c r="D64" s="46">
        <v>368.68</v>
      </c>
      <c r="E64" s="47">
        <v>5911.12</v>
      </c>
      <c r="F64" s="49">
        <v>45565</v>
      </c>
    </row>
    <row r="65" spans="1:9" ht="13.5" thickBot="1">
      <c r="A65" s="45">
        <v>62</v>
      </c>
      <c r="B65" s="46">
        <v>311.12</v>
      </c>
      <c r="C65" s="46">
        <v>54.68</v>
      </c>
      <c r="D65" s="46">
        <v>365.8</v>
      </c>
      <c r="E65" s="47">
        <v>5600</v>
      </c>
      <c r="F65" s="49">
        <v>45657</v>
      </c>
      <c r="G65" s="44">
        <f>SUM(C62:C65)</f>
        <v>235.98000000000002</v>
      </c>
      <c r="H65" s="44">
        <f>SUM(D62:D65)-G65</f>
        <v>1244.48</v>
      </c>
      <c r="I65" s="48">
        <f>I61-H65</f>
        <v>5600.000000000004</v>
      </c>
    </row>
    <row r="66" spans="1:6" ht="13.5" thickBot="1">
      <c r="A66" s="45">
        <v>63</v>
      </c>
      <c r="B66" s="46">
        <v>311.12</v>
      </c>
      <c r="C66" s="46">
        <v>51.8</v>
      </c>
      <c r="D66" s="46">
        <v>362.92</v>
      </c>
      <c r="E66" s="47">
        <v>5288.88</v>
      </c>
      <c r="F66" s="49">
        <v>45747</v>
      </c>
    </row>
    <row r="67" spans="1:6" ht="13.5" thickBot="1">
      <c r="A67" s="45">
        <v>64</v>
      </c>
      <c r="B67" s="46">
        <v>311.12</v>
      </c>
      <c r="C67" s="46">
        <v>48.92</v>
      </c>
      <c r="D67" s="46">
        <v>360.04</v>
      </c>
      <c r="E67" s="47">
        <v>4977.76</v>
      </c>
      <c r="F67" s="49">
        <v>45838</v>
      </c>
    </row>
    <row r="68" spans="1:6" ht="13.5" thickBot="1">
      <c r="A68" s="45">
        <v>65</v>
      </c>
      <c r="B68" s="46">
        <v>311.12</v>
      </c>
      <c r="C68" s="46">
        <v>46.04</v>
      </c>
      <c r="D68" s="46">
        <v>357.16</v>
      </c>
      <c r="E68" s="47">
        <v>4666.64</v>
      </c>
      <c r="F68" s="49">
        <v>45930</v>
      </c>
    </row>
    <row r="69" spans="1:9" ht="13.5" thickBot="1">
      <c r="A69" s="45">
        <v>66</v>
      </c>
      <c r="B69" s="46">
        <v>311.12</v>
      </c>
      <c r="C69" s="46">
        <v>43.17</v>
      </c>
      <c r="D69" s="46">
        <v>354.29</v>
      </c>
      <c r="E69" s="47">
        <v>4355.52</v>
      </c>
      <c r="F69" s="49">
        <v>46022</v>
      </c>
      <c r="G69" s="44">
        <f>SUM(C66:C69)</f>
        <v>189.93</v>
      </c>
      <c r="H69" s="44">
        <f>SUM(D66:D69)-G69</f>
        <v>1244.48</v>
      </c>
      <c r="I69" s="48">
        <f>I65-H69</f>
        <v>4355.520000000004</v>
      </c>
    </row>
    <row r="70" spans="1:6" ht="13.5" thickBot="1">
      <c r="A70" s="45">
        <v>67</v>
      </c>
      <c r="B70" s="46">
        <v>311.12</v>
      </c>
      <c r="C70" s="46">
        <v>40.29</v>
      </c>
      <c r="D70" s="46">
        <v>351.41</v>
      </c>
      <c r="E70" s="47">
        <v>4044.4</v>
      </c>
      <c r="F70" s="49">
        <v>46112</v>
      </c>
    </row>
    <row r="71" spans="1:6" ht="13.5" thickBot="1">
      <c r="A71" s="45">
        <v>68</v>
      </c>
      <c r="B71" s="46">
        <v>311.12</v>
      </c>
      <c r="C71" s="46">
        <v>37.41</v>
      </c>
      <c r="D71" s="46">
        <v>348.53</v>
      </c>
      <c r="E71" s="47">
        <v>3733.28</v>
      </c>
      <c r="F71" s="49">
        <v>46203</v>
      </c>
    </row>
    <row r="72" spans="1:6" ht="13.5" thickBot="1">
      <c r="A72" s="45">
        <v>69</v>
      </c>
      <c r="B72" s="46">
        <v>311.12</v>
      </c>
      <c r="C72" s="46">
        <v>34.53</v>
      </c>
      <c r="D72" s="46">
        <v>345.65</v>
      </c>
      <c r="E72" s="47">
        <v>3422.16</v>
      </c>
      <c r="F72" s="49">
        <v>46295</v>
      </c>
    </row>
    <row r="73" spans="1:9" ht="13.5" thickBot="1">
      <c r="A73" s="45">
        <v>70</v>
      </c>
      <c r="B73" s="46">
        <v>311.12</v>
      </c>
      <c r="C73" s="46">
        <v>31.65</v>
      </c>
      <c r="D73" s="46">
        <v>342.77</v>
      </c>
      <c r="E73" s="47">
        <v>3111.04</v>
      </c>
      <c r="F73" s="49">
        <v>46387</v>
      </c>
      <c r="G73" s="44">
        <f>SUM(C70:C73)</f>
        <v>143.88</v>
      </c>
      <c r="H73" s="44">
        <f>SUM(D70:D73)-G73</f>
        <v>1244.48</v>
      </c>
      <c r="I73" s="48">
        <f>I69-H73</f>
        <v>3111.040000000004</v>
      </c>
    </row>
    <row r="74" spans="1:6" ht="13.5" thickBot="1">
      <c r="A74" s="45">
        <v>71</v>
      </c>
      <c r="B74" s="46">
        <v>311.12</v>
      </c>
      <c r="C74" s="46">
        <v>28.78</v>
      </c>
      <c r="D74" s="46">
        <v>339.9</v>
      </c>
      <c r="E74" s="47">
        <v>2799.92</v>
      </c>
      <c r="F74" s="49">
        <v>46477</v>
      </c>
    </row>
    <row r="75" spans="1:6" ht="13.5" thickBot="1">
      <c r="A75" s="45">
        <v>72</v>
      </c>
      <c r="B75" s="46">
        <v>311.12</v>
      </c>
      <c r="C75" s="46">
        <v>25.9</v>
      </c>
      <c r="D75" s="46">
        <v>337.02</v>
      </c>
      <c r="E75" s="47">
        <v>2488.8</v>
      </c>
      <c r="F75" s="49">
        <v>46568</v>
      </c>
    </row>
    <row r="76" spans="1:6" ht="13.5" thickBot="1">
      <c r="A76" s="45">
        <v>73</v>
      </c>
      <c r="B76" s="46">
        <v>311.12</v>
      </c>
      <c r="C76" s="46">
        <v>23.02</v>
      </c>
      <c r="D76" s="46">
        <v>334.14</v>
      </c>
      <c r="E76" s="47">
        <v>2177.68</v>
      </c>
      <c r="F76" s="49">
        <v>46660</v>
      </c>
    </row>
    <row r="77" spans="1:9" ht="13.5" thickBot="1">
      <c r="A77" s="45">
        <v>74</v>
      </c>
      <c r="B77" s="46">
        <v>311.12</v>
      </c>
      <c r="C77" s="46">
        <v>20.14</v>
      </c>
      <c r="D77" s="46">
        <v>331.26</v>
      </c>
      <c r="E77" s="47">
        <v>1866.56</v>
      </c>
      <c r="F77" s="49">
        <v>46752</v>
      </c>
      <c r="G77" s="44">
        <f>SUM(C74:C77)</f>
        <v>97.84</v>
      </c>
      <c r="H77" s="44">
        <f>SUM(D74:D77)-G77</f>
        <v>1244.48</v>
      </c>
      <c r="I77" s="48">
        <f>I73-H77</f>
        <v>1866.560000000004</v>
      </c>
    </row>
    <row r="78" spans="1:6" ht="13.5" thickBot="1">
      <c r="A78" s="45">
        <v>75</v>
      </c>
      <c r="B78" s="46">
        <v>311.12</v>
      </c>
      <c r="C78" s="46">
        <v>17.27</v>
      </c>
      <c r="D78" s="46">
        <v>328.39</v>
      </c>
      <c r="E78" s="47">
        <v>1555.44</v>
      </c>
      <c r="F78" s="49">
        <v>46843</v>
      </c>
    </row>
    <row r="79" spans="1:6" ht="13.5" thickBot="1">
      <c r="A79" s="45">
        <v>76</v>
      </c>
      <c r="B79" s="46">
        <v>311.12</v>
      </c>
      <c r="C79" s="46">
        <v>14.39</v>
      </c>
      <c r="D79" s="46">
        <v>325.51</v>
      </c>
      <c r="E79" s="47">
        <v>1244.32</v>
      </c>
      <c r="F79" s="49">
        <v>46934</v>
      </c>
    </row>
    <row r="80" spans="1:6" ht="13.5" thickBot="1">
      <c r="A80" s="45">
        <v>77</v>
      </c>
      <c r="B80" s="46">
        <v>311.12</v>
      </c>
      <c r="C80" s="46">
        <v>11.51</v>
      </c>
      <c r="D80" s="46">
        <v>322.63</v>
      </c>
      <c r="E80" s="46">
        <v>933.2</v>
      </c>
      <c r="F80" s="49">
        <v>47026</v>
      </c>
    </row>
    <row r="81" spans="1:9" ht="13.5" thickBot="1">
      <c r="A81" s="45">
        <v>78</v>
      </c>
      <c r="B81" s="46">
        <v>311.12</v>
      </c>
      <c r="C81" s="46">
        <v>8.63</v>
      </c>
      <c r="D81" s="46">
        <v>319.75</v>
      </c>
      <c r="E81" s="46">
        <v>622.08</v>
      </c>
      <c r="F81" s="49">
        <v>47118</v>
      </c>
      <c r="G81" s="44">
        <f>SUM(C78:C81)</f>
        <v>51.800000000000004</v>
      </c>
      <c r="H81" s="44">
        <f>SUM(D78:D81)-G81</f>
        <v>1244.48</v>
      </c>
      <c r="I81" s="48">
        <f>I77-H81</f>
        <v>622.080000000004</v>
      </c>
    </row>
    <row r="82" spans="1:6" ht="13.5" thickBot="1">
      <c r="A82" s="45">
        <v>79</v>
      </c>
      <c r="B82" s="46">
        <v>311.12</v>
      </c>
      <c r="C82" s="46">
        <v>5.75</v>
      </c>
      <c r="D82" s="46">
        <v>316.87</v>
      </c>
      <c r="E82" s="46">
        <v>310.96</v>
      </c>
      <c r="F82" s="49">
        <v>47208</v>
      </c>
    </row>
    <row r="83" spans="1:9" ht="13.5" thickBot="1">
      <c r="A83" s="45">
        <v>80</v>
      </c>
      <c r="B83" s="46">
        <v>310.96</v>
      </c>
      <c r="C83" s="46">
        <v>2.88</v>
      </c>
      <c r="D83" s="46">
        <v>313.84</v>
      </c>
      <c r="E83" s="46">
        <v>0</v>
      </c>
      <c r="F83" s="49">
        <v>47299</v>
      </c>
      <c r="G83" s="44">
        <f>C82+C83</f>
        <v>8.629999999999999</v>
      </c>
      <c r="H83" s="44">
        <f>B82+B83</f>
        <v>622.0799999999999</v>
      </c>
      <c r="I83" s="48">
        <f>I81-H83</f>
        <v>4.092726157978177E-12</v>
      </c>
    </row>
    <row r="84" spans="1:8" ht="25.5">
      <c r="A84" s="50" t="s">
        <v>60</v>
      </c>
      <c r="B84" s="51">
        <v>21156</v>
      </c>
      <c r="C84" s="51">
        <v>9099.65</v>
      </c>
      <c r="D84" s="51">
        <v>30255.65</v>
      </c>
      <c r="E84" s="52">
        <v>0</v>
      </c>
      <c r="G84" s="51">
        <f>SUM(G5:G83)</f>
        <v>9099.649999999998</v>
      </c>
      <c r="H84" s="51">
        <f>SUM(H5:H83)</f>
        <v>21156</v>
      </c>
    </row>
    <row r="85" spans="1:5" ht="12.75">
      <c r="A85" s="102"/>
      <c r="B85" s="102"/>
      <c r="C85" s="102"/>
      <c r="D85" s="102"/>
      <c r="E85" s="102"/>
    </row>
  </sheetData>
  <mergeCells count="2">
    <mergeCell ref="A85:E85"/>
    <mergeCell ref="A1:I2"/>
  </mergeCells>
  <printOptions/>
  <pageMargins left="0.75" right="0.42" top="1" bottom="1" header="0.4921259845" footer="0.4921259845"/>
  <pageSetup horizontalDpi="600" verticalDpi="600" orientation="portrait" paperSize="9" r:id="rId1"/>
  <headerFooter alignWithMargins="0">
    <oddHeader>&amp;LWirtschaftlichkeitsberechnung Solaranlage&amp;C&amp;A</oddHeader>
    <oddFooter>&amp;L(c) Deubner Verlag Köln
Steuerberater BWL-Assistent
November 2009&amp;RSeite &amp;P von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nh</cp:lastModifiedBy>
  <cp:lastPrinted>2009-07-26T14:11:00Z</cp:lastPrinted>
  <dcterms:created xsi:type="dcterms:W3CDTF">2007-10-09T10:14:37Z</dcterms:created>
  <dcterms:modified xsi:type="dcterms:W3CDTF">2009-10-08T13:52:44Z</dcterms:modified>
  <cp:category/>
  <cp:version/>
  <cp:contentType/>
  <cp:contentStatus/>
</cp:coreProperties>
</file>