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7365" windowHeight="6570" activeTab="0"/>
  </bookViews>
  <sheets>
    <sheet name="Entwicklungsübersicht" sheetId="1" r:id="rId1"/>
    <sheet name="Grafiken" sheetId="2" r:id="rId2"/>
    <sheet name="Grafiken (2)" sheetId="3" r:id="rId3"/>
  </sheets>
  <definedNames>
    <definedName name="_xlnm.Print_Area" localSheetId="0">'Entwicklungsübersicht'!$A$1:$M$62</definedName>
  </definedNames>
  <calcPr fullCalcOnLoad="1"/>
</workbook>
</file>

<file path=xl/sharedStrings.xml><?xml version="1.0" encoding="utf-8"?>
<sst xmlns="http://schemas.openxmlformats.org/spreadsheetml/2006/main" count="92" uniqueCount="78">
  <si>
    <t>Gastgewerbe</t>
  </si>
  <si>
    <t>%</t>
  </si>
  <si>
    <t>Sonstiges</t>
  </si>
  <si>
    <t>Wareneinsatz übriger Umsatz</t>
  </si>
  <si>
    <t>Löhne und Gehälter</t>
  </si>
  <si>
    <t>Sozialkosten - gesetzliche</t>
  </si>
  <si>
    <t>Mieten für betrieblich genutzte Bauten und Räume, Grundstückspachten</t>
  </si>
  <si>
    <t>Reinigung</t>
  </si>
  <si>
    <t>Energiekosten</t>
  </si>
  <si>
    <t>Instandhaltung und Reparaturen</t>
  </si>
  <si>
    <t xml:space="preserve">übrige Kosten: Buchführung, Abschluss </t>
  </si>
  <si>
    <t>übrige Kosten: Sonstige</t>
  </si>
  <si>
    <t>Betriebsergebnis 31 minus 32</t>
  </si>
  <si>
    <t>AfA</t>
  </si>
  <si>
    <t>Tilgung</t>
  </si>
  <si>
    <t>Verprobung, steuerliches Ergebnis:</t>
  </si>
  <si>
    <t>errechnetes steuerl. Ergebnis</t>
  </si>
  <si>
    <t>tatsächliches steuerl. Ergebnis lt. Einn.-Ü-Rg.</t>
  </si>
  <si>
    <t>Differenz</t>
  </si>
  <si>
    <t xml:space="preserve">Sozialkosten - übrige </t>
  </si>
  <si>
    <t>Umsatz Pension</t>
  </si>
  <si>
    <t xml:space="preserve">Wareneinsatz Sonstiges (Fremdleistungen) </t>
  </si>
  <si>
    <t>Abschreibungen, GWG</t>
  </si>
  <si>
    <t>übrige Kosten: Telefon</t>
  </si>
  <si>
    <t>30a</t>
  </si>
  <si>
    <t>30b</t>
  </si>
  <si>
    <t>30c</t>
  </si>
  <si>
    <t>30d</t>
  </si>
  <si>
    <t>Rohertrag 10 minus 15</t>
  </si>
  <si>
    <t>Zwischensaldo 16 minus 31</t>
  </si>
  <si>
    <t>Betriebsergebnis lt. Zeile 34</t>
  </si>
  <si>
    <t xml:space="preserve">Steuern, Gebühren, Beiträge, Versicherungen </t>
  </si>
  <si>
    <t xml:space="preserve">Gesamtleistung </t>
  </si>
  <si>
    <t xml:space="preserve">Umsatz aus Gastgewerbe </t>
  </si>
  <si>
    <t xml:space="preserve">Summe Warenumsatz </t>
  </si>
  <si>
    <t xml:space="preserve">Summe Materialaufwand </t>
  </si>
  <si>
    <t>übriger Umsatz</t>
  </si>
  <si>
    <t xml:space="preserve">Summe Personalkosten </t>
  </si>
  <si>
    <t>Summe Mieten und Pachten</t>
  </si>
  <si>
    <t>Speisenumsatz</t>
  </si>
  <si>
    <t>Sonstige Erträge</t>
  </si>
  <si>
    <t>Forderungsverluste</t>
  </si>
  <si>
    <t>Kostenstruktur: % von der Gesamtleistung</t>
  </si>
  <si>
    <t>Entwicklung Umsätze vs. Entwicklung Personalkosten:</t>
  </si>
  <si>
    <t>Umsätze</t>
  </si>
  <si>
    <t>PersonalK</t>
  </si>
  <si>
    <t>Gaststätte</t>
  </si>
  <si>
    <t>Branchenvergleich</t>
  </si>
  <si>
    <t>Pension</t>
  </si>
  <si>
    <t>Hotel/Restaurant</t>
  </si>
  <si>
    <t>Anteil Gaststätten- u. Pensionsumsatz im Branchenvergleich</t>
  </si>
  <si>
    <t>Hotel und Restaurant "Zur Bier-Oase"</t>
  </si>
  <si>
    <t>Instandhaltung/Reinigung Getränkeleitungen</t>
  </si>
  <si>
    <t xml:space="preserve">Fremdkapitalzinsen und ähnl. Aufw. </t>
  </si>
  <si>
    <t>Cashflow</t>
  </si>
  <si>
    <t>€</t>
  </si>
  <si>
    <t>Getränkeumsatz</t>
  </si>
  <si>
    <t>Wareneinsatz Speisen</t>
  </si>
  <si>
    <t>Wareneinsatz Getränke</t>
  </si>
  <si>
    <t>Kfz-Kosten</t>
  </si>
  <si>
    <t>übrige Kosten: Leasing</t>
  </si>
  <si>
    <t>(Plan)</t>
  </si>
  <si>
    <t>eigener Betr.</t>
  </si>
  <si>
    <t>Branche</t>
  </si>
  <si>
    <t xml:space="preserve">abzgl. Einstellungen in den SoPo/Bildung IAB </t>
  </si>
  <si>
    <t>Branchenvergleich 2011</t>
  </si>
  <si>
    <t>Eigenverbrauch Kfz</t>
  </si>
  <si>
    <t>Summe der Kosten 20, 24 und 25-30d</t>
  </si>
  <si>
    <t xml:space="preserve">* Aus: "Betriebsvergleich Hotellerie &amp; Gastronomie Deutschland 2011";                                                                                                                                                                                                                       </t>
  </si>
  <si>
    <t xml:space="preserve">          BBG Branchenspiegel - Betriebe mit Beherbergungsumsatz bis &lt; 40 % und einem Umsatzvolumen bis &lt; 500 T€; Kategorie A 1 (im Eigentum).</t>
  </si>
  <si>
    <t>zzgl. Auflösung des SoPo/IAB</t>
  </si>
  <si>
    <t>zzgl. Erträge aus Sanierung</t>
  </si>
  <si>
    <t>zzgl. Erträge aus der Auflösung von Rückstellungen</t>
  </si>
  <si>
    <t>zzgl. außerordentliche Erträge (Zuschüsse BA)</t>
  </si>
  <si>
    <t>zzgl. Vers.-Entschädigung</t>
  </si>
  <si>
    <t>zzgl./abzgl. Personalkosten aus Vj bzw. Folgejahr</t>
  </si>
  <si>
    <t>2013 (Plan)</t>
  </si>
  <si>
    <t>Vergleichswerte*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</si>
</sst>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 "/>
    <numFmt numFmtId="173" formatCode="0.0%\ \ "/>
    <numFmt numFmtId="174" formatCode="0.0%"/>
    <numFmt numFmtId="175" formatCode="#,##0.0"/>
    <numFmt numFmtId="176" formatCode="0.0_ ;[Red]\-0.0\ "/>
    <numFmt numFmtId="177" formatCode="mmm/\ yy"/>
    <numFmt numFmtId="178" formatCode="0.0"/>
    <numFmt numFmtId="179" formatCode="#,##0.00&quot;  &quot;;\-#,##0.00&quot;  &quot;"/>
    <numFmt numFmtId="180" formatCode="dd/mm/yy"/>
    <numFmt numFmtId="181" formatCode="mmm\ yyyy"/>
    <numFmt numFmtId="182" formatCode="d/m/yy"/>
    <numFmt numFmtId="183" formatCode="mmm\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@\ *."/>
  </numFmts>
  <fonts count="6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name val="Arial Rounded MT Bold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.75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2.75"/>
      <color indexed="8"/>
      <name val="Arial"/>
      <family val="2"/>
    </font>
    <font>
      <b/>
      <sz val="3.25"/>
      <color indexed="8"/>
      <name val="Arial"/>
      <family val="2"/>
    </font>
    <font>
      <sz val="2.5"/>
      <color indexed="8"/>
      <name val="Arial"/>
      <family val="2"/>
    </font>
    <font>
      <sz val="1.5"/>
      <color indexed="8"/>
      <name val="Arial"/>
      <family val="2"/>
    </font>
    <font>
      <b/>
      <sz val="1.75"/>
      <color indexed="8"/>
      <name val="Arial"/>
      <family val="2"/>
    </font>
    <font>
      <sz val="1.35"/>
      <color indexed="8"/>
      <name val="Arial"/>
      <family val="2"/>
    </font>
    <font>
      <b/>
      <sz val="2.5"/>
      <color indexed="8"/>
      <name val="Arial"/>
      <family val="2"/>
    </font>
    <font>
      <b/>
      <sz val="3"/>
      <color indexed="8"/>
      <name val="Arial"/>
      <family val="2"/>
    </font>
    <font>
      <sz val="2.3"/>
      <color indexed="8"/>
      <name val="Arial"/>
      <family val="2"/>
    </font>
    <font>
      <sz val="9.75"/>
      <color indexed="8"/>
      <name val="Arial"/>
      <family val="2"/>
    </font>
    <font>
      <b/>
      <sz val="11.75"/>
      <color indexed="8"/>
      <name val="Arial"/>
      <family val="2"/>
    </font>
    <font>
      <sz val="8.9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2" fontId="2" fillId="0" borderId="12" xfId="0" applyNumberFormat="1" applyFont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72" fontId="0" fillId="0" borderId="15" xfId="0" applyNumberFormat="1" applyFont="1" applyBorder="1" applyAlignment="1">
      <alignment vertical="center"/>
    </xf>
    <xf numFmtId="174" fontId="0" fillId="0" borderId="16" xfId="0" applyNumberFormat="1" applyFont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 wrapText="1"/>
    </xf>
    <xf numFmtId="172" fontId="0" fillId="33" borderId="19" xfId="0" applyNumberFormat="1" applyFont="1" applyFill="1" applyBorder="1" applyAlignment="1">
      <alignment vertical="center"/>
    </xf>
    <xf numFmtId="174" fontId="0" fillId="33" borderId="20" xfId="0" applyNumberFormat="1" applyFont="1" applyFill="1" applyBorder="1" applyAlignment="1">
      <alignment horizontal="right" vertical="center"/>
    </xf>
    <xf numFmtId="174" fontId="0" fillId="33" borderId="21" xfId="0" applyNumberFormat="1" applyFont="1" applyFill="1" applyBorder="1" applyAlignment="1">
      <alignment horizontal="right" vertical="center"/>
    </xf>
    <xf numFmtId="174" fontId="0" fillId="0" borderId="21" xfId="0" applyNumberFormat="1" applyFont="1" applyBorder="1" applyAlignment="1">
      <alignment horizontal="right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 wrapText="1"/>
    </xf>
    <xf numFmtId="172" fontId="0" fillId="33" borderId="24" xfId="0" applyNumberFormat="1" applyFont="1" applyFill="1" applyBorder="1" applyAlignment="1">
      <alignment vertical="center"/>
    </xf>
    <xf numFmtId="174" fontId="0" fillId="33" borderId="13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2" fontId="0" fillId="0" borderId="15" xfId="0" applyNumberFormat="1" applyFont="1" applyFill="1" applyBorder="1" applyAlignment="1">
      <alignment vertical="center"/>
    </xf>
    <xf numFmtId="174" fontId="0" fillId="0" borderId="25" xfId="0" applyNumberFormat="1" applyFont="1" applyBorder="1" applyAlignment="1">
      <alignment horizontal="right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vertical="center" wrapText="1"/>
    </xf>
    <xf numFmtId="172" fontId="0" fillId="33" borderId="28" xfId="0" applyNumberFormat="1" applyFont="1" applyFill="1" applyBorder="1" applyAlignment="1">
      <alignment vertical="center"/>
    </xf>
    <xf numFmtId="174" fontId="0" fillId="33" borderId="25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9" xfId="0" applyFont="1" applyBorder="1" applyAlignment="1">
      <alignment/>
    </xf>
    <xf numFmtId="174" fontId="0" fillId="33" borderId="3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173" fontId="2" fillId="0" borderId="12" xfId="0" applyNumberFormat="1" applyFont="1" applyBorder="1" applyAlignment="1">
      <alignment horizontal="center" vertical="center"/>
    </xf>
    <xf numFmtId="174" fontId="0" fillId="0" borderId="15" xfId="0" applyNumberFormat="1" applyFont="1" applyBorder="1" applyAlignment="1">
      <alignment horizontal="right" vertical="center"/>
    </xf>
    <xf numFmtId="174" fontId="0" fillId="33" borderId="19" xfId="0" applyNumberFormat="1" applyFont="1" applyFill="1" applyBorder="1" applyAlignment="1">
      <alignment horizontal="right" vertical="center"/>
    </xf>
    <xf numFmtId="174" fontId="0" fillId="33" borderId="33" xfId="0" applyNumberFormat="1" applyFont="1" applyFill="1" applyBorder="1" applyAlignment="1">
      <alignment horizontal="right" vertical="center"/>
    </xf>
    <xf numFmtId="174" fontId="0" fillId="33" borderId="24" xfId="0" applyNumberFormat="1" applyFont="1" applyFill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174" fontId="0" fillId="33" borderId="28" xfId="0" applyNumberFormat="1" applyFont="1" applyFill="1" applyBorder="1" applyAlignment="1">
      <alignment horizontal="right" vertical="center"/>
    </xf>
    <xf numFmtId="174" fontId="0" fillId="33" borderId="12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/>
    </xf>
    <xf numFmtId="174" fontId="0" fillId="0" borderId="34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34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8" fillId="0" borderId="0" xfId="0" applyFont="1" applyAlignment="1">
      <alignment/>
    </xf>
    <xf numFmtId="172" fontId="8" fillId="0" borderId="15" xfId="0" applyNumberFormat="1" applyFont="1" applyBorder="1" applyAlignment="1">
      <alignment vertical="center"/>
    </xf>
    <xf numFmtId="174" fontId="8" fillId="0" borderId="35" xfId="0" applyNumberFormat="1" applyFont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4" fontId="8" fillId="0" borderId="0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/>
    </xf>
    <xf numFmtId="4" fontId="8" fillId="0" borderId="15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/>
    </xf>
    <xf numFmtId="0" fontId="8" fillId="33" borderId="20" xfId="0" applyFont="1" applyFill="1" applyBorder="1" applyAlignment="1">
      <alignment/>
    </xf>
    <xf numFmtId="0" fontId="8" fillId="0" borderId="29" xfId="0" applyFont="1" applyBorder="1" applyAlignment="1">
      <alignment/>
    </xf>
    <xf numFmtId="174" fontId="0" fillId="33" borderId="36" xfId="0" applyNumberFormat="1" applyFont="1" applyFill="1" applyBorder="1" applyAlignment="1">
      <alignment horizontal="right" vertical="center"/>
    </xf>
    <xf numFmtId="172" fontId="0" fillId="33" borderId="19" xfId="0" applyNumberFormat="1" applyFont="1" applyFill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174" fontId="0" fillId="0" borderId="35" xfId="0" applyNumberFormat="1" applyFont="1" applyBorder="1" applyAlignment="1">
      <alignment horizontal="right" vertical="center"/>
    </xf>
    <xf numFmtId="174" fontId="0" fillId="33" borderId="37" xfId="0" applyNumberFormat="1" applyFont="1" applyFill="1" applyBorder="1" applyAlignment="1">
      <alignment horizontal="right" vertical="center"/>
    </xf>
    <xf numFmtId="172" fontId="0" fillId="0" borderId="15" xfId="0" applyNumberFormat="1" applyFont="1" applyFill="1" applyBorder="1" applyAlignment="1">
      <alignment vertical="center"/>
    </xf>
    <xf numFmtId="174" fontId="0" fillId="0" borderId="37" xfId="0" applyNumberFormat="1" applyFont="1" applyBorder="1" applyAlignment="1">
      <alignment horizontal="right" vertical="center"/>
    </xf>
    <xf numFmtId="172" fontId="0" fillId="33" borderId="24" xfId="0" applyNumberFormat="1" applyFont="1" applyFill="1" applyBorder="1" applyAlignment="1">
      <alignment vertical="center"/>
    </xf>
    <xf numFmtId="174" fontId="0" fillId="33" borderId="38" xfId="0" applyNumberFormat="1" applyFont="1" applyFill="1" applyBorder="1" applyAlignment="1">
      <alignment horizontal="right" vertical="center"/>
    </xf>
    <xf numFmtId="172" fontId="0" fillId="33" borderId="28" xfId="0" applyNumberFormat="1" applyFont="1" applyFill="1" applyBorder="1" applyAlignment="1">
      <alignment vertical="center"/>
    </xf>
    <xf numFmtId="174" fontId="0" fillId="33" borderId="39" xfId="0" applyNumberFormat="1" applyFont="1" applyFill="1" applyBorder="1" applyAlignment="1">
      <alignment horizontal="right" vertical="center"/>
    </xf>
    <xf numFmtId="174" fontId="0" fillId="0" borderId="40" xfId="0" applyNumberFormat="1" applyFont="1" applyBorder="1" applyAlignment="1">
      <alignment horizontal="right" vertical="center"/>
    </xf>
    <xf numFmtId="174" fontId="0" fillId="33" borderId="40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33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172" fontId="2" fillId="0" borderId="12" xfId="0" applyNumberFormat="1" applyFont="1" applyBorder="1" applyAlignment="1">
      <alignment horizontal="center" vertical="center"/>
    </xf>
    <xf numFmtId="173" fontId="2" fillId="0" borderId="3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Personalkosten</a:t>
            </a:r>
          </a:p>
        </c:rich>
      </c:tx>
      <c:layout>
        <c:manualLayout>
          <c:xMode val="factor"/>
          <c:yMode val="factor"/>
          <c:x val="0.04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725"/>
          <c:w val="0.9195"/>
          <c:h val="0.78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Grafiken!$C$5:$C$8</c:f>
              <c:numCache/>
            </c:numRef>
          </c:cat>
          <c:val>
            <c:numRef>
              <c:f>Grafiken!$B$5:$B$8</c:f>
              <c:numCache/>
            </c:numRef>
          </c:val>
          <c:smooth val="0"/>
        </c:ser>
        <c:marker val="1"/>
        <c:axId val="14890990"/>
        <c:axId val="66910047"/>
      </c:lineChart>
      <c:catAx>
        <c:axId val="1489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0047"/>
        <c:crosses val="autoZero"/>
        <c:auto val="1"/>
        <c:lblOffset val="100"/>
        <c:tickLblSkip val="1"/>
        <c:noMultiLvlLbl val="0"/>
      </c:catAx>
      <c:valAx>
        <c:axId val="669100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90990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Personalkosten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'Grafiken (2)'!#REF!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'Grafiken (2)'!#REF!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4088"/>
        <c:axId val="1746793"/>
      </c:lineChart>
      <c:cat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793"/>
        <c:crosses val="autoZero"/>
        <c:auto val="1"/>
        <c:lblOffset val="100"/>
        <c:tickLblSkip val="1"/>
        <c:noMultiLvlLbl val="0"/>
      </c:catAx>
      <c:valAx>
        <c:axId val="1746793"/>
        <c:scaling>
          <c:orientation val="minMax"/>
          <c:max val="1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88"/>
        <c:crossesAt val="1"/>
        <c:crossBetween val="between"/>
        <c:dispUnits/>
        <c:maj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Rohertrag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6775"/>
          <c:w val="0.95775"/>
          <c:h val="0.70725"/>
        </c:manualLayout>
      </c:layout>
      <c:bar3DChart>
        <c:barDir val="col"/>
        <c:grouping val="clustered"/>
        <c:varyColors val="0"/>
        <c:ser>
          <c:idx val="0"/>
          <c:order val="0"/>
          <c:tx>
            <c:v>eigene Werte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'Grafiken (2)'!$A$18:$C$18</c:f>
              <c:numCache/>
            </c:numRef>
          </c:cat>
          <c:val>
            <c:numRef>
              <c:f>'Grafiken (2)'!$A$19:$C$19</c:f>
              <c:numCache/>
            </c:numRef>
          </c:val>
          <c:shape val="box"/>
        </c:ser>
        <c:ser>
          <c:idx val="1"/>
          <c:order val="1"/>
          <c:tx>
            <c:v>Branchenvergleichszahlen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'Grafiken (2)'!$A$18:$C$18</c:f>
              <c:numCache/>
            </c:numRef>
          </c:cat>
          <c:val>
            <c:numRef>
              <c:f>'Grafiken (2)'!$A$20:$C$20</c:f>
              <c:numCache/>
            </c:numRef>
          </c:val>
          <c:shape val="box"/>
        </c:ser>
        <c:shape val="box"/>
        <c:axId val="15721138"/>
        <c:axId val="7272515"/>
      </c:bar3DChart>
      <c:catAx>
        <c:axId val="157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272515"/>
        <c:crosses val="autoZero"/>
        <c:auto val="1"/>
        <c:lblOffset val="100"/>
        <c:tickLblSkip val="1"/>
        <c:noMultiLvlLbl val="0"/>
      </c:catAx>
      <c:valAx>
        <c:axId val="7272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211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525"/>
          <c:y val="0.91125"/>
          <c:w val="0.561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Umsatzerlöse 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605"/>
          <c:w val="0.918"/>
          <c:h val="0.80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Grafiken!$C$5:$C$8</c:f>
              <c:numCache/>
            </c:numRef>
          </c:cat>
          <c:val>
            <c:numRef>
              <c:f>Grafiken!$A$5:$A$8</c:f>
              <c:numCache/>
            </c:numRef>
          </c:val>
          <c:smooth val="0"/>
        </c:ser>
        <c:marker val="1"/>
        <c:axId val="65319512"/>
        <c:axId val="51004697"/>
      </c:lineChart>
      <c:catAx>
        <c:axId val="6531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697"/>
        <c:crosses val="autoZero"/>
        <c:auto val="1"/>
        <c:lblOffset val="100"/>
        <c:tickLblSkip val="1"/>
        <c:noMultiLvlLbl val="0"/>
      </c:catAx>
      <c:valAx>
        <c:axId val="51004697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19512"/>
        <c:crossesAt val="1"/>
        <c:crossBetween val="between"/>
        <c:dispUnits/>
        <c:maj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Personalkosten 
im Branchenvergleich</a:t>
            </a:r>
          </a:p>
        </c:rich>
      </c:tx>
      <c:layout>
        <c:manualLayout>
          <c:xMode val="factor"/>
          <c:yMode val="factor"/>
          <c:x val="-0.049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92"/>
          <c:w val="0.91925"/>
          <c:h val="0.69425"/>
        </c:manualLayout>
      </c:layout>
      <c:lineChart>
        <c:grouping val="standard"/>
        <c:varyColors val="0"/>
        <c:ser>
          <c:idx val="0"/>
          <c:order val="0"/>
          <c:tx>
            <c:v>Vergleichswert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Grafiken!$C$5:$C$7</c:f>
              <c:numCache/>
            </c:numRef>
          </c:cat>
          <c:val>
            <c:numRef>
              <c:f>Grafiken!$A$35:$C$35</c:f>
              <c:numCache/>
            </c:numRef>
          </c:val>
          <c:smooth val="0"/>
        </c:ser>
        <c:ser>
          <c:idx val="1"/>
          <c:order val="1"/>
          <c:tx>
            <c:v>Personalkosten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Grafiken!$C$5:$C$7</c:f>
              <c:numCache/>
            </c:numRef>
          </c:cat>
          <c:val>
            <c:numRef>
              <c:f>Grafiken!$A$36:$C$36</c:f>
              <c:numCache/>
            </c:numRef>
          </c:val>
          <c:smooth val="0"/>
        </c:ser>
        <c:marker val="1"/>
        <c:axId val="56389090"/>
        <c:axId val="37739763"/>
      </c:line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39763"/>
        <c:crosses val="autoZero"/>
        <c:auto val="1"/>
        <c:lblOffset val="100"/>
        <c:tickLblSkip val="1"/>
        <c:noMultiLvlLbl val="0"/>
      </c:catAx>
      <c:valAx>
        <c:axId val="37739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9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5"/>
          <c:y val="0.8945"/>
          <c:w val="0.56275"/>
          <c:h val="0.0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Umsatzanteile getrennt nach Gaststätte und Pension mit Branchenvergleichszahlen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Gaststättenumsatz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Grafiken!$C$5:$C$7</c:f>
              <c:numCache/>
            </c:numRef>
          </c:cat>
          <c:val>
            <c:numRef>
              <c:f>Grafiken!#REF!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Branchenumsatz von Gaststätten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Grafiken!$C$5:$C$7</c:f>
              <c:numCache/>
            </c:numRef>
          </c:cat>
          <c:val>
            <c:numRef>
              <c:f>Grafiken!#REF!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Pensionsumsatz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Grafiken!$C$5:$C$7</c:f>
              <c:numCache/>
            </c:numRef>
          </c:cat>
          <c:val>
            <c:numRef>
              <c:f>Grafiken!#REF!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Branchenumsatz von Pensionen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Grafiken!$C$5:$C$7</c:f>
              <c:numCache/>
            </c:numRef>
          </c:cat>
          <c:val>
            <c:numRef>
              <c:f>Grafiken!#REF!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13548"/>
        <c:axId val="37021933"/>
      </c:lineChart>
      <c:catAx>
        <c:axId val="41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21933"/>
        <c:crosses val="autoZero"/>
        <c:auto val="1"/>
        <c:lblOffset val="100"/>
        <c:tickLblSkip val="1"/>
        <c:noMultiLvlLbl val="0"/>
      </c:catAx>
      <c:valAx>
        <c:axId val="37021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548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Rohertrag</a:t>
            </a:r>
          </a:p>
        </c:rich>
      </c:tx>
      <c:layout/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eigene Werte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Grafiken!#REF!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Branchenvergleichszahlen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Grafiken!#REF!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4761942"/>
        <c:axId val="45986567"/>
      </c:bar3D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986567"/>
        <c:crosses val="autoZero"/>
        <c:auto val="1"/>
        <c:lblOffset val="100"/>
        <c:tickLblSkip val="1"/>
        <c:noMultiLvlLbl val="0"/>
      </c:catAx>
      <c:valAx>
        <c:axId val="45986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19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Personalkosten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'Grafiken (2)'!#REF!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'Grafiken (2)'!#REF!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225920"/>
        <c:axId val="33924417"/>
      </c:lineChart>
      <c:catAx>
        <c:axId val="1122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4417"/>
        <c:crosses val="autoZero"/>
        <c:auto val="1"/>
        <c:lblOffset val="100"/>
        <c:tickLblSkip val="1"/>
        <c:noMultiLvlLbl val="0"/>
      </c:catAx>
      <c:valAx>
        <c:axId val="33924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5920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Umsatzerlöse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'Grafiken (2)'!#REF!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'Grafiken (2)'!#REF!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884298"/>
        <c:axId val="63523227"/>
      </c:lineChart>
      <c:catAx>
        <c:axId val="368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23227"/>
        <c:crosses val="autoZero"/>
        <c:auto val="1"/>
        <c:lblOffset val="100"/>
        <c:tickLblSkip val="1"/>
        <c:noMultiLvlLbl val="0"/>
      </c:catAx>
      <c:valAx>
        <c:axId val="635232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4298"/>
        <c:crossesAt val="1"/>
        <c:crossBetween val="between"/>
        <c:dispUnits/>
        <c:maj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Personalkosten 
im Branchenvergleich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Vergleichswert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'Grafiken (2)'!#REF!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'Grafiken (2)'!#REF!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Personalkosten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'Grafiken (2)'!#REF!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'Grafiken (2)'!#REF!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838132"/>
        <c:axId val="45107733"/>
      </c:lineChart>
      <c:catAx>
        <c:axId val="348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7733"/>
        <c:crosses val="autoZero"/>
        <c:auto val="1"/>
        <c:lblOffset val="100"/>
        <c:tickLblSkip val="1"/>
        <c:noMultiLvlLbl val="0"/>
      </c:catAx>
      <c:valAx>
        <c:axId val="45107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38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Umsatzanteile getrennt nach Gaststätte und Pension mit Branchenvergleichszahlen</a:t>
            </a:r>
          </a:p>
        </c:rich>
      </c:tx>
      <c:layout>
        <c:manualLayout>
          <c:xMode val="factor"/>
          <c:yMode val="factor"/>
          <c:x val="0.04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275"/>
          <c:w val="0.9575"/>
          <c:h val="0.63175"/>
        </c:manualLayout>
      </c:layout>
      <c:lineChart>
        <c:grouping val="standard"/>
        <c:varyColors val="0"/>
        <c:ser>
          <c:idx val="0"/>
          <c:order val="0"/>
          <c:tx>
            <c:v>Gaststättenumsatz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'Grafiken (2)'!#REF!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'Grafiken (2)'!$A$6:$C$6</c:f>
              <c:numCache/>
            </c:numRef>
          </c:val>
          <c:smooth val="0"/>
        </c:ser>
        <c:ser>
          <c:idx val="1"/>
          <c:order val="1"/>
          <c:tx>
            <c:v>Branchenumsatz von Gaststätten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'Grafiken (2)'!#REF!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'Grafiken (2)'!$A$7:$C$7</c:f>
              <c:numCache/>
            </c:numRef>
          </c:val>
          <c:smooth val="0"/>
        </c:ser>
        <c:ser>
          <c:idx val="2"/>
          <c:order val="2"/>
          <c:tx>
            <c:v>Pensionsumsatz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'Grafiken (2)'!#REF!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'Grafiken (2)'!$A$10:$C$10</c:f>
              <c:numCache/>
            </c:numRef>
          </c:val>
          <c:smooth val="0"/>
        </c:ser>
        <c:ser>
          <c:idx val="3"/>
          <c:order val="3"/>
          <c:tx>
            <c:v>Branchenumsatz von Pensionen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'Grafiken (2)'!#REF!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'Grafiken (2)'!$A$11:$C$11</c:f>
              <c:numCache/>
            </c:numRef>
          </c:val>
          <c:smooth val="0"/>
        </c:ser>
        <c:marker val="1"/>
        <c:axId val="3316414"/>
        <c:axId val="29847727"/>
      </c:lineChart>
      <c:cat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47727"/>
        <c:crossesAt val="0"/>
        <c:auto val="1"/>
        <c:lblOffset val="100"/>
        <c:tickLblSkip val="1"/>
        <c:noMultiLvlLbl val="0"/>
      </c:catAx>
      <c:valAx>
        <c:axId val="2984772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6414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25"/>
          <c:y val="0.704"/>
          <c:w val="0.511"/>
          <c:h val="0.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18</xdr:row>
      <xdr:rowOff>76200</xdr:rowOff>
    </xdr:from>
    <xdr:to>
      <xdr:col>9</xdr:col>
      <xdr:colOff>0</xdr:colOff>
      <xdr:row>33</xdr:row>
      <xdr:rowOff>104775</xdr:rowOff>
    </xdr:to>
    <xdr:graphicFrame>
      <xdr:nvGraphicFramePr>
        <xdr:cNvPr id="1" name="Diagramm 2"/>
        <xdr:cNvGraphicFramePr/>
      </xdr:nvGraphicFramePr>
      <xdr:xfrm>
        <a:off x="3076575" y="2990850"/>
        <a:ext cx="37814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0</xdr:row>
      <xdr:rowOff>142875</xdr:rowOff>
    </xdr:from>
    <xdr:to>
      <xdr:col>9</xdr:col>
      <xdr:colOff>0</xdr:colOff>
      <xdr:row>17</xdr:row>
      <xdr:rowOff>85725</xdr:rowOff>
    </xdr:to>
    <xdr:graphicFrame>
      <xdr:nvGraphicFramePr>
        <xdr:cNvPr id="2" name="Diagramm 3"/>
        <xdr:cNvGraphicFramePr/>
      </xdr:nvGraphicFramePr>
      <xdr:xfrm>
        <a:off x="3067050" y="142875"/>
        <a:ext cx="379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34</xdr:row>
      <xdr:rowOff>9525</xdr:rowOff>
    </xdr:from>
    <xdr:to>
      <xdr:col>9</xdr:col>
      <xdr:colOff>0</xdr:colOff>
      <xdr:row>47</xdr:row>
      <xdr:rowOff>133350</xdr:rowOff>
    </xdr:to>
    <xdr:graphicFrame>
      <xdr:nvGraphicFramePr>
        <xdr:cNvPr id="3" name="Diagramm 4"/>
        <xdr:cNvGraphicFramePr/>
      </xdr:nvGraphicFramePr>
      <xdr:xfrm>
        <a:off x="3086100" y="5514975"/>
        <a:ext cx="37719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714375</xdr:colOff>
      <xdr:row>24</xdr:row>
      <xdr:rowOff>0</xdr:rowOff>
    </xdr:from>
    <xdr:to>
      <xdr:col>8</xdr:col>
      <xdr:colOff>0</xdr:colOff>
      <xdr:row>24</xdr:row>
      <xdr:rowOff>0</xdr:rowOff>
    </xdr:to>
    <xdr:graphicFrame>
      <xdr:nvGraphicFramePr>
        <xdr:cNvPr id="4" name="Diagramm 5"/>
        <xdr:cNvGraphicFramePr/>
      </xdr:nvGraphicFramePr>
      <xdr:xfrm>
        <a:off x="3762375" y="3886200"/>
        <a:ext cx="2333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graphicFrame>
      <xdr:nvGraphicFramePr>
        <xdr:cNvPr id="5" name="Diagramm 7"/>
        <xdr:cNvGraphicFramePr/>
      </xdr:nvGraphicFramePr>
      <xdr:xfrm>
        <a:off x="6096000" y="38862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0</xdr:row>
      <xdr:rowOff>0</xdr:rowOff>
    </xdr:from>
    <xdr:to>
      <xdr:col>12</xdr:col>
      <xdr:colOff>457200</xdr:colOff>
      <xdr:row>0</xdr:row>
      <xdr:rowOff>0</xdr:rowOff>
    </xdr:to>
    <xdr:graphicFrame>
      <xdr:nvGraphicFramePr>
        <xdr:cNvPr id="1" name="Diagramm 1"/>
        <xdr:cNvGraphicFramePr/>
      </xdr:nvGraphicFramePr>
      <xdr:xfrm>
        <a:off x="6629400" y="0"/>
        <a:ext cx="2971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0</xdr:row>
      <xdr:rowOff>0</xdr:rowOff>
    </xdr:from>
    <xdr:to>
      <xdr:col>8</xdr:col>
      <xdr:colOff>333375</xdr:colOff>
      <xdr:row>0</xdr:row>
      <xdr:rowOff>0</xdr:rowOff>
    </xdr:to>
    <xdr:graphicFrame>
      <xdr:nvGraphicFramePr>
        <xdr:cNvPr id="2" name="Diagramm 2"/>
        <xdr:cNvGraphicFramePr/>
      </xdr:nvGraphicFramePr>
      <xdr:xfrm>
        <a:off x="3333750" y="0"/>
        <a:ext cx="3095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266700</xdr:colOff>
      <xdr:row>0</xdr:row>
      <xdr:rowOff>0</xdr:rowOff>
    </xdr:from>
    <xdr:to>
      <xdr:col>8</xdr:col>
      <xdr:colOff>361950</xdr:colOff>
      <xdr:row>0</xdr:row>
      <xdr:rowOff>0</xdr:rowOff>
    </xdr:to>
    <xdr:graphicFrame>
      <xdr:nvGraphicFramePr>
        <xdr:cNvPr id="3" name="Diagramm 3"/>
        <xdr:cNvGraphicFramePr/>
      </xdr:nvGraphicFramePr>
      <xdr:xfrm>
        <a:off x="3314700" y="0"/>
        <a:ext cx="3143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714375</xdr:colOff>
      <xdr:row>2</xdr:row>
      <xdr:rowOff>19050</xdr:rowOff>
    </xdr:from>
    <xdr:to>
      <xdr:col>10</xdr:col>
      <xdr:colOff>714375</xdr:colOff>
      <xdr:row>19</xdr:row>
      <xdr:rowOff>152400</xdr:rowOff>
    </xdr:to>
    <xdr:graphicFrame>
      <xdr:nvGraphicFramePr>
        <xdr:cNvPr id="4" name="Diagramm 4"/>
        <xdr:cNvGraphicFramePr/>
      </xdr:nvGraphicFramePr>
      <xdr:xfrm>
        <a:off x="3762375" y="342900"/>
        <a:ext cx="4572000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647700</xdr:colOff>
      <xdr:row>0</xdr:row>
      <xdr:rowOff>0</xdr:rowOff>
    </xdr:from>
    <xdr:to>
      <xdr:col>16</xdr:col>
      <xdr:colOff>638175</xdr:colOff>
      <xdr:row>0</xdr:row>
      <xdr:rowOff>0</xdr:rowOff>
    </xdr:to>
    <xdr:graphicFrame>
      <xdr:nvGraphicFramePr>
        <xdr:cNvPr id="5" name="Diagramm 5"/>
        <xdr:cNvGraphicFramePr/>
      </xdr:nvGraphicFramePr>
      <xdr:xfrm>
        <a:off x="9791700" y="0"/>
        <a:ext cx="3038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704850</xdr:colOff>
      <xdr:row>22</xdr:row>
      <xdr:rowOff>47625</xdr:rowOff>
    </xdr:from>
    <xdr:to>
      <xdr:col>10</xdr:col>
      <xdr:colOff>723900</xdr:colOff>
      <xdr:row>40</xdr:row>
      <xdr:rowOff>114300</xdr:rowOff>
    </xdr:to>
    <xdr:graphicFrame>
      <xdr:nvGraphicFramePr>
        <xdr:cNvPr id="6" name="Diagramm 6"/>
        <xdr:cNvGraphicFramePr/>
      </xdr:nvGraphicFramePr>
      <xdr:xfrm>
        <a:off x="3752850" y="3609975"/>
        <a:ext cx="4591050" cy="2981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view="pageLayout" zoomScaleSheetLayoutView="100" workbookViewId="0" topLeftCell="A1">
      <selection activeCell="B6" sqref="B6"/>
    </sheetView>
  </sheetViews>
  <sheetFormatPr defaultColWidth="11.421875" defaultRowHeight="12.75"/>
  <cols>
    <col min="1" max="1" width="4.421875" style="0" customWidth="1"/>
    <col min="2" max="2" width="49.7109375" style="0" customWidth="1"/>
    <col min="3" max="3" width="12.8515625" style="0" customWidth="1"/>
    <col min="4" max="4" width="11.7109375" style="0" bestFit="1" customWidth="1"/>
    <col min="5" max="5" width="12.8515625" style="0" bestFit="1" customWidth="1"/>
    <col min="6" max="6" width="11.7109375" style="0" bestFit="1" customWidth="1"/>
    <col min="7" max="7" width="12.8515625" style="0" bestFit="1" customWidth="1"/>
    <col min="8" max="8" width="11.7109375" style="0" bestFit="1" customWidth="1"/>
    <col min="9" max="9" width="12.8515625" style="0" bestFit="1" customWidth="1"/>
    <col min="10" max="10" width="11.7109375" style="0" bestFit="1" customWidth="1"/>
    <col min="11" max="11" width="2.140625" style="0" customWidth="1"/>
    <col min="12" max="12" width="13.00390625" style="68" bestFit="1" customWidth="1"/>
    <col min="13" max="13" width="11.7109375" style="68" bestFit="1" customWidth="1"/>
  </cols>
  <sheetData>
    <row r="1" spans="1:3" ht="20.25">
      <c r="A1" s="98" t="s">
        <v>51</v>
      </c>
      <c r="B1" s="98"/>
      <c r="C1" s="98"/>
    </row>
    <row r="2" spans="1:10" ht="15.75" thickBot="1">
      <c r="A2" s="102" t="s">
        <v>42</v>
      </c>
      <c r="B2" s="102"/>
      <c r="C2" s="102"/>
      <c r="D2" s="102"/>
      <c r="E2" s="102"/>
      <c r="F2" s="102"/>
      <c r="G2" s="102"/>
      <c r="H2" s="102"/>
      <c r="I2" s="64"/>
      <c r="J2" s="64"/>
    </row>
    <row r="3" spans="1:22" ht="15.75">
      <c r="A3" s="1"/>
      <c r="B3" s="110" t="s">
        <v>0</v>
      </c>
      <c r="C3" s="99">
        <v>2010</v>
      </c>
      <c r="D3" s="100"/>
      <c r="E3" s="99">
        <v>2011</v>
      </c>
      <c r="F3" s="100"/>
      <c r="G3" s="99">
        <v>2012</v>
      </c>
      <c r="H3" s="100"/>
      <c r="I3" s="99" t="s">
        <v>76</v>
      </c>
      <c r="J3" s="100"/>
      <c r="K3" s="43"/>
      <c r="L3" s="99" t="s">
        <v>77</v>
      </c>
      <c r="M3" s="101"/>
      <c r="N3" s="95"/>
      <c r="O3" s="95"/>
      <c r="P3" s="95"/>
      <c r="Q3" s="95"/>
      <c r="R3" s="95"/>
      <c r="S3" s="95"/>
      <c r="T3" s="95"/>
      <c r="U3" s="95"/>
      <c r="V3" s="95"/>
    </row>
    <row r="4" spans="1:22" ht="16.5" thickBot="1">
      <c r="A4" s="2"/>
      <c r="B4" s="111"/>
      <c r="C4" s="3" t="s">
        <v>55</v>
      </c>
      <c r="D4" s="4" t="s">
        <v>1</v>
      </c>
      <c r="E4" s="3" t="s">
        <v>55</v>
      </c>
      <c r="F4" s="4" t="s">
        <v>1</v>
      </c>
      <c r="G4" s="3" t="s">
        <v>55</v>
      </c>
      <c r="H4" s="4" t="s">
        <v>1</v>
      </c>
      <c r="I4" s="3" t="s">
        <v>55</v>
      </c>
      <c r="J4" s="4" t="s">
        <v>1</v>
      </c>
      <c r="K4" s="44"/>
      <c r="L4" s="96" t="s">
        <v>55</v>
      </c>
      <c r="M4" s="97" t="s">
        <v>1</v>
      </c>
      <c r="N4" s="95"/>
      <c r="O4" s="95"/>
      <c r="P4" s="95"/>
      <c r="Q4" s="95"/>
      <c r="R4" s="95"/>
      <c r="S4" s="95"/>
      <c r="T4" s="95"/>
      <c r="U4" s="95"/>
      <c r="V4" s="95"/>
    </row>
    <row r="5" spans="1:13" ht="12.75">
      <c r="A5" s="5">
        <v>1</v>
      </c>
      <c r="B5" s="6" t="s">
        <v>39</v>
      </c>
      <c r="C5" s="7">
        <v>80000</v>
      </c>
      <c r="D5" s="8">
        <f>C5/C11</f>
        <v>0.39534811661840374</v>
      </c>
      <c r="E5" s="7">
        <v>103000</v>
      </c>
      <c r="F5" s="8">
        <f>E5/E11</f>
        <v>0.4533512960213186</v>
      </c>
      <c r="G5" s="7">
        <v>90000</v>
      </c>
      <c r="H5" s="8">
        <f>G5/G11</f>
        <v>0.3959563355191443</v>
      </c>
      <c r="I5" s="7">
        <v>100000</v>
      </c>
      <c r="J5" s="8">
        <f>I5/I11</f>
        <v>0.40601257526508866</v>
      </c>
      <c r="K5" s="45"/>
      <c r="L5" s="80">
        <v>194500</v>
      </c>
      <c r="M5" s="81">
        <f>L5/$L$14</f>
        <v>0.41586487064357497</v>
      </c>
    </row>
    <row r="6" spans="1:13" ht="12.75">
      <c r="A6" s="5">
        <v>2</v>
      </c>
      <c r="B6" s="6" t="s">
        <v>56</v>
      </c>
      <c r="C6" s="7">
        <v>58300</v>
      </c>
      <c r="D6" s="8">
        <f>C6/C11</f>
        <v>0.2881099399856617</v>
      </c>
      <c r="E6" s="7">
        <v>50250</v>
      </c>
      <c r="F6" s="8">
        <f>E6/E11</f>
        <v>0.22117381189389573</v>
      </c>
      <c r="G6" s="7">
        <v>60000</v>
      </c>
      <c r="H6" s="8">
        <f>G6/G11</f>
        <v>0.26397089034609617</v>
      </c>
      <c r="I6" s="7">
        <v>70000</v>
      </c>
      <c r="J6" s="8">
        <f>I6/I11</f>
        <v>0.28420880268556203</v>
      </c>
      <c r="K6" s="45"/>
      <c r="L6" s="80">
        <v>148200</v>
      </c>
      <c r="M6" s="81">
        <f>L6/$L$14</f>
        <v>0.3168697883258499</v>
      </c>
    </row>
    <row r="7" spans="1:13" ht="12.75">
      <c r="A7" s="5">
        <v>3</v>
      </c>
      <c r="B7" s="6" t="s">
        <v>2</v>
      </c>
      <c r="C7" s="7"/>
      <c r="D7" s="8"/>
      <c r="E7" s="7"/>
      <c r="F7" s="8"/>
      <c r="G7" s="7"/>
      <c r="H7" s="8"/>
      <c r="I7" s="7"/>
      <c r="J7" s="8"/>
      <c r="K7" s="45"/>
      <c r="L7" s="80">
        <v>5200</v>
      </c>
      <c r="M7" s="81">
        <f>L7/L14</f>
        <v>0.011118238186871927</v>
      </c>
    </row>
    <row r="8" spans="1:13" ht="12.75">
      <c r="A8" s="9">
        <v>4</v>
      </c>
      <c r="B8" s="10" t="s">
        <v>34</v>
      </c>
      <c r="C8" s="11">
        <f>SUM(C5,C6,C7)</f>
        <v>138300</v>
      </c>
      <c r="D8" s="12">
        <f>D5+D6+D7</f>
        <v>0.6834580566040654</v>
      </c>
      <c r="E8" s="11">
        <f>SUM(E5,E6,E7)</f>
        <v>153250</v>
      </c>
      <c r="F8" s="12">
        <f>F5+F6+F7</f>
        <v>0.6745251079152144</v>
      </c>
      <c r="G8" s="11">
        <f>SUM(G5,G6,G7)</f>
        <v>150000</v>
      </c>
      <c r="H8" s="12">
        <f>H5+H6+H7</f>
        <v>0.6599272258652404</v>
      </c>
      <c r="I8" s="11">
        <f>SUM(I5,I6,I7)</f>
        <v>170000</v>
      </c>
      <c r="J8" s="12">
        <f>J5+J6+J7</f>
        <v>0.6902213779506507</v>
      </c>
      <c r="K8" s="46"/>
      <c r="L8" s="79">
        <f>SUM(L5,L6,L7)</f>
        <v>347900</v>
      </c>
      <c r="M8" s="78">
        <v>0.743</v>
      </c>
    </row>
    <row r="9" spans="1:13" ht="12.75">
      <c r="A9" s="5">
        <v>5</v>
      </c>
      <c r="B9" s="6" t="s">
        <v>20</v>
      </c>
      <c r="C9" s="7">
        <v>61610.11</v>
      </c>
      <c r="D9" s="8">
        <f>C9/C11</f>
        <v>0.30446801191440853</v>
      </c>
      <c r="E9" s="7">
        <v>72891.58</v>
      </c>
      <c r="F9" s="8">
        <f>E9/E11</f>
        <v>0.3208300219615692</v>
      </c>
      <c r="G9" s="7">
        <v>76000</v>
      </c>
      <c r="H9" s="8">
        <f>G9/G11</f>
        <v>0.33436312777172184</v>
      </c>
      <c r="I9" s="7">
        <v>75000</v>
      </c>
      <c r="J9" s="8">
        <f>I9/I11</f>
        <v>0.3045094314488165</v>
      </c>
      <c r="K9" s="45"/>
      <c r="L9" s="80">
        <v>117500</v>
      </c>
      <c r="M9" s="81">
        <f>L9/L14</f>
        <v>0.25122942056874065</v>
      </c>
    </row>
    <row r="10" spans="1:13" ht="12.75">
      <c r="A10" s="5">
        <v>6</v>
      </c>
      <c r="B10" s="6" t="s">
        <v>66</v>
      </c>
      <c r="C10" s="7">
        <v>2443.2</v>
      </c>
      <c r="D10" s="8">
        <f>C10/C11</f>
        <v>0.01207393148152605</v>
      </c>
      <c r="E10" s="7">
        <v>1055.3</v>
      </c>
      <c r="F10" s="8">
        <f>E10/E11</f>
        <v>0.00464487012321648</v>
      </c>
      <c r="G10" s="7">
        <v>1297.79</v>
      </c>
      <c r="H10" s="8">
        <f>G10/G11</f>
        <v>0.005709646363037669</v>
      </c>
      <c r="I10" s="7">
        <v>1297.79</v>
      </c>
      <c r="J10" s="8">
        <f>I10/I11</f>
        <v>0.005269190600532794</v>
      </c>
      <c r="K10" s="45"/>
      <c r="L10" s="80"/>
      <c r="M10" s="81">
        <f>L10/L14</f>
        <v>0</v>
      </c>
    </row>
    <row r="11" spans="1:13" ht="12.75">
      <c r="A11" s="9">
        <v>7</v>
      </c>
      <c r="B11" s="10" t="s">
        <v>33</v>
      </c>
      <c r="C11" s="11">
        <f>SUM(C8,C9,C10)</f>
        <v>202353.31</v>
      </c>
      <c r="D11" s="12">
        <f>IF(D8+D9+D10=100%,100%,FALSE)</f>
        <v>1</v>
      </c>
      <c r="E11" s="11">
        <f>SUM(E8,E9,E10)</f>
        <v>227196.88</v>
      </c>
      <c r="F11" s="12">
        <f>IF(F8+F9+F10=100%,100%,FALSE)</f>
        <v>1</v>
      </c>
      <c r="G11" s="11">
        <f>SUM(G8,G9,G10)</f>
        <v>227297.79</v>
      </c>
      <c r="H11" s="12">
        <f>IF(H8+H9+H10=100%,100%,FALSE)</f>
        <v>1</v>
      </c>
      <c r="I11" s="11">
        <f>SUM(I8,I9,I10)</f>
        <v>246297.79</v>
      </c>
      <c r="J11" s="12">
        <f>IF(J8+J9+J10=100%,100%,FALSE)</f>
        <v>1</v>
      </c>
      <c r="K11" s="46"/>
      <c r="L11" s="79">
        <f>SUM(L8,L9,L10)</f>
        <v>465400</v>
      </c>
      <c r="M11" s="78">
        <f>M9+M10+M8</f>
        <v>0.9942294205687406</v>
      </c>
    </row>
    <row r="12" spans="1:13" ht="12.75">
      <c r="A12" s="5">
        <v>8</v>
      </c>
      <c r="B12" s="6" t="s">
        <v>40</v>
      </c>
      <c r="C12" s="7"/>
      <c r="D12" s="8"/>
      <c r="E12" s="7"/>
      <c r="F12" s="8"/>
      <c r="G12" s="7"/>
      <c r="H12" s="8"/>
      <c r="I12" s="7"/>
      <c r="J12" s="8"/>
      <c r="K12" s="45"/>
      <c r="L12" s="69"/>
      <c r="M12" s="70"/>
    </row>
    <row r="13" spans="1:13" ht="12.75">
      <c r="A13" s="5">
        <v>9</v>
      </c>
      <c r="B13" s="6" t="s">
        <v>36</v>
      </c>
      <c r="C13" s="7"/>
      <c r="D13" s="8"/>
      <c r="E13" s="7"/>
      <c r="F13" s="8"/>
      <c r="G13" s="7"/>
      <c r="H13" s="8"/>
      <c r="I13" s="7"/>
      <c r="J13" s="8"/>
      <c r="K13" s="45"/>
      <c r="L13" s="80">
        <v>2300</v>
      </c>
      <c r="M13" s="81">
        <v>0.006</v>
      </c>
    </row>
    <row r="14" spans="1:13" ht="12.75">
      <c r="A14" s="9">
        <v>10</v>
      </c>
      <c r="B14" s="10" t="s">
        <v>32</v>
      </c>
      <c r="C14" s="11">
        <f>SUM(C11,C12,C13)</f>
        <v>202353.31</v>
      </c>
      <c r="D14" s="12">
        <f>D11+D13</f>
        <v>1</v>
      </c>
      <c r="E14" s="11">
        <f>SUM(E11,E12,E13)</f>
        <v>227196.88</v>
      </c>
      <c r="F14" s="12">
        <f>F11+F13</f>
        <v>1</v>
      </c>
      <c r="G14" s="11">
        <f>SUM(G11,G12,G13)</f>
        <v>227297.79</v>
      </c>
      <c r="H14" s="12">
        <f>H11+H13</f>
        <v>1</v>
      </c>
      <c r="I14" s="11">
        <f>SUM(I11,I12,I13)</f>
        <v>246297.79</v>
      </c>
      <c r="J14" s="12">
        <f>J11+J13</f>
        <v>1</v>
      </c>
      <c r="K14" s="46"/>
      <c r="L14" s="79">
        <f>SUM(L11,L12,L13)</f>
        <v>467700</v>
      </c>
      <c r="M14" s="78">
        <f>M11+M13</f>
        <v>1.0002294205687405</v>
      </c>
    </row>
    <row r="15" spans="1:13" ht="12.75">
      <c r="A15" s="5">
        <v>11</v>
      </c>
      <c r="B15" s="6" t="s">
        <v>57</v>
      </c>
      <c r="C15" s="7">
        <v>27879.18</v>
      </c>
      <c r="D15" s="8">
        <f>C15/C14</f>
        <v>0.13777476632331837</v>
      </c>
      <c r="E15" s="7">
        <v>32630.12</v>
      </c>
      <c r="F15" s="8">
        <f>E15/E14</f>
        <v>0.14362045816826358</v>
      </c>
      <c r="G15" s="7">
        <v>34775.33</v>
      </c>
      <c r="H15" s="8">
        <f>G15/G14</f>
        <v>0.15299458036965516</v>
      </c>
      <c r="I15" s="7">
        <v>38000</v>
      </c>
      <c r="J15" s="8">
        <f>I15/I14</f>
        <v>0.1542847786007337</v>
      </c>
      <c r="K15" s="45"/>
      <c r="L15" s="80">
        <v>59300</v>
      </c>
      <c r="M15" s="81">
        <f>L15/L14</f>
        <v>0.12679067778490485</v>
      </c>
    </row>
    <row r="16" spans="1:13" ht="12.75">
      <c r="A16" s="5">
        <v>12</v>
      </c>
      <c r="B16" s="6" t="s">
        <v>58</v>
      </c>
      <c r="C16" s="7">
        <v>7084.71</v>
      </c>
      <c r="D16" s="8">
        <f>C16/C14</f>
        <v>0.03501158444109464</v>
      </c>
      <c r="E16" s="7">
        <v>10117.61</v>
      </c>
      <c r="F16" s="8">
        <f>E16/E14</f>
        <v>0.04453234569066265</v>
      </c>
      <c r="G16" s="7">
        <v>11942.55</v>
      </c>
      <c r="H16" s="8">
        <f>G16/G14</f>
        <v>0.05254142594171285</v>
      </c>
      <c r="I16" s="7">
        <v>14000</v>
      </c>
      <c r="J16" s="8">
        <f>I16/I14</f>
        <v>0.05684176053711241</v>
      </c>
      <c r="K16" s="45"/>
      <c r="L16" s="80">
        <v>40900</v>
      </c>
      <c r="M16" s="81">
        <f>L16/L14</f>
        <v>0.08744921958520419</v>
      </c>
    </row>
    <row r="17" spans="1:13" ht="12.75">
      <c r="A17" s="5">
        <v>13</v>
      </c>
      <c r="B17" s="6" t="s">
        <v>21</v>
      </c>
      <c r="C17" s="7">
        <v>1069</v>
      </c>
      <c r="D17" s="8">
        <f>C17/C14</f>
        <v>0.00528283920831342</v>
      </c>
      <c r="E17" s="7">
        <v>895.5</v>
      </c>
      <c r="F17" s="8">
        <f>E17/E14</f>
        <v>0.0039415153940494255</v>
      </c>
      <c r="G17" s="7">
        <v>1049.94</v>
      </c>
      <c r="H17" s="8">
        <f>G17/G14</f>
        <v>0.004619226610166337</v>
      </c>
      <c r="I17" s="7">
        <v>0</v>
      </c>
      <c r="J17" s="8">
        <f>I17/I14</f>
        <v>0</v>
      </c>
      <c r="K17" s="45"/>
      <c r="L17" s="80">
        <v>1900</v>
      </c>
      <c r="M17" s="81">
        <f>L17/L14</f>
        <v>0.004062433183664742</v>
      </c>
    </row>
    <row r="18" spans="1:13" ht="12.75">
      <c r="A18" s="5">
        <v>14</v>
      </c>
      <c r="B18" s="6" t="s">
        <v>3</v>
      </c>
      <c r="C18" s="7"/>
      <c r="D18" s="8"/>
      <c r="E18" s="7"/>
      <c r="F18" s="8"/>
      <c r="G18" s="7"/>
      <c r="H18" s="8"/>
      <c r="I18" s="7"/>
      <c r="J18" s="8"/>
      <c r="K18" s="45"/>
      <c r="L18" s="80"/>
      <c r="M18" s="81"/>
    </row>
    <row r="19" spans="1:13" ht="12.75">
      <c r="A19" s="9">
        <v>15</v>
      </c>
      <c r="B19" s="10" t="s">
        <v>35</v>
      </c>
      <c r="C19" s="11">
        <f>SUM(C15,C16,C17,C18)</f>
        <v>36032.89</v>
      </c>
      <c r="D19" s="12">
        <f>D15+D16+D17+D18</f>
        <v>0.17806918997272642</v>
      </c>
      <c r="E19" s="11">
        <f>SUM(E15,E16,E17,E18)</f>
        <v>43643.229999999996</v>
      </c>
      <c r="F19" s="12">
        <f>F15+F16+F17+F18</f>
        <v>0.19209431925297568</v>
      </c>
      <c r="G19" s="11">
        <f>SUM(G15,G16,G17,G18)</f>
        <v>47767.82000000001</v>
      </c>
      <c r="H19" s="12">
        <f>H15+H16+H17+H18</f>
        <v>0.21015523292153435</v>
      </c>
      <c r="I19" s="11">
        <f>SUM(I15,I16,I17,I18)</f>
        <v>52000</v>
      </c>
      <c r="J19" s="12">
        <f>J15+J16+J17+J18</f>
        <v>0.2111265391378461</v>
      </c>
      <c r="K19" s="46"/>
      <c r="L19" s="79">
        <f>SUM(L15,L16,L17,L18)</f>
        <v>102100</v>
      </c>
      <c r="M19" s="78">
        <f>M15+M16+M17+M18</f>
        <v>0.2183023305537738</v>
      </c>
    </row>
    <row r="20" spans="1:13" ht="12.75">
      <c r="A20" s="9">
        <v>16</v>
      </c>
      <c r="B20" s="10" t="s">
        <v>28</v>
      </c>
      <c r="C20" s="11">
        <f>C14-C19</f>
        <v>166320.41999999998</v>
      </c>
      <c r="D20" s="13">
        <f>C20/C14</f>
        <v>0.8219308100272735</v>
      </c>
      <c r="E20" s="11">
        <f>E14-E19</f>
        <v>183553.65000000002</v>
      </c>
      <c r="F20" s="13">
        <f>E20/E14</f>
        <v>0.8079056807470244</v>
      </c>
      <c r="G20" s="11">
        <f>G14-G19</f>
        <v>179529.97</v>
      </c>
      <c r="H20" s="13">
        <f>G20/G14</f>
        <v>0.7898447670784656</v>
      </c>
      <c r="I20" s="11">
        <f>I14-I19</f>
        <v>194297.79</v>
      </c>
      <c r="J20" s="13">
        <f>I20/I14</f>
        <v>0.7888734608621539</v>
      </c>
      <c r="K20" s="47"/>
      <c r="L20" s="79">
        <f>L14-L19</f>
        <v>365600</v>
      </c>
      <c r="M20" s="82">
        <f>L20/L14</f>
        <v>0.7816976694462262</v>
      </c>
    </row>
    <row r="21" spans="1:13" ht="12.75">
      <c r="A21" s="5">
        <v>17</v>
      </c>
      <c r="B21" s="6" t="s">
        <v>4</v>
      </c>
      <c r="C21" s="7">
        <v>80161.27</v>
      </c>
      <c r="D21" s="8">
        <f>C21/C14</f>
        <v>0.3961450890029919</v>
      </c>
      <c r="E21" s="7">
        <v>76736.92</v>
      </c>
      <c r="F21" s="8">
        <f>E21/E14</f>
        <v>0.3377551663561577</v>
      </c>
      <c r="G21" s="7">
        <v>71636.41</v>
      </c>
      <c r="H21" s="8">
        <f>G21/G14</f>
        <v>0.3151654488149665</v>
      </c>
      <c r="I21" s="7">
        <v>72000</v>
      </c>
      <c r="J21" s="8">
        <f>I21/I14</f>
        <v>0.2923290541908638</v>
      </c>
      <c r="K21" s="45"/>
      <c r="L21" s="80">
        <v>140500</v>
      </c>
      <c r="M21" s="81">
        <f>L21/L14</f>
        <v>0.30040624331836646</v>
      </c>
    </row>
    <row r="22" spans="1:13" ht="12.75">
      <c r="A22" s="5">
        <v>18</v>
      </c>
      <c r="B22" s="6" t="s">
        <v>5</v>
      </c>
      <c r="C22" s="7">
        <v>18895.57</v>
      </c>
      <c r="D22" s="8">
        <f>C22/C14</f>
        <v>0.09337910014914014</v>
      </c>
      <c r="E22" s="7">
        <v>18124.08</v>
      </c>
      <c r="F22" s="8">
        <f>E22/E14</f>
        <v>0.07977257434168991</v>
      </c>
      <c r="G22" s="7">
        <v>17718.64</v>
      </c>
      <c r="H22" s="8">
        <f>G22/G14</f>
        <v>0.07795341960869923</v>
      </c>
      <c r="I22" s="7">
        <f>I21*23%</f>
        <v>16560</v>
      </c>
      <c r="J22" s="8">
        <f>I22/I14</f>
        <v>0.06723568246389867</v>
      </c>
      <c r="K22" s="45"/>
      <c r="L22" s="80"/>
      <c r="M22" s="81">
        <f>L22/L14</f>
        <v>0</v>
      </c>
    </row>
    <row r="23" spans="1:13" ht="12.75">
      <c r="A23" s="5">
        <v>19</v>
      </c>
      <c r="B23" s="6" t="s">
        <v>19</v>
      </c>
      <c r="C23" s="7"/>
      <c r="D23" s="8">
        <f>C23/C14</f>
        <v>0</v>
      </c>
      <c r="E23" s="7"/>
      <c r="F23" s="8">
        <f>E23/E14</f>
        <v>0</v>
      </c>
      <c r="G23" s="7"/>
      <c r="H23" s="8">
        <f>G23/G14</f>
        <v>0</v>
      </c>
      <c r="I23" s="7"/>
      <c r="J23" s="8">
        <f>I23/I14</f>
        <v>0</v>
      </c>
      <c r="K23" s="45"/>
      <c r="L23" s="80"/>
      <c r="M23" s="81">
        <f>L23/L14</f>
        <v>0</v>
      </c>
    </row>
    <row r="24" spans="1:13" ht="12.75">
      <c r="A24" s="9">
        <v>20</v>
      </c>
      <c r="B24" s="10" t="s">
        <v>37</v>
      </c>
      <c r="C24" s="11">
        <f>SUM(C21,C22,C23)</f>
        <v>99056.84</v>
      </c>
      <c r="D24" s="12">
        <f>D21+D22+D23</f>
        <v>0.489524189152132</v>
      </c>
      <c r="E24" s="11">
        <f>SUM(E21,E22,E23)</f>
        <v>94861</v>
      </c>
      <c r="F24" s="12">
        <f>F21+F22+F23</f>
        <v>0.4175277406978476</v>
      </c>
      <c r="G24" s="11">
        <f>SUM(G21,G22,G23)</f>
        <v>89355.05</v>
      </c>
      <c r="H24" s="12">
        <f>H21+H22+H23</f>
        <v>0.3931188684236657</v>
      </c>
      <c r="I24" s="11">
        <f>SUM(I21,I22,I23)</f>
        <v>88560</v>
      </c>
      <c r="J24" s="12">
        <f>J21+J22+J23</f>
        <v>0.35956473665476246</v>
      </c>
      <c r="K24" s="46"/>
      <c r="L24" s="79">
        <f>SUM(L21,L22,L23)</f>
        <v>140500</v>
      </c>
      <c r="M24" s="78">
        <f>M21+M22+M23</f>
        <v>0.30040624331836646</v>
      </c>
    </row>
    <row r="25" spans="1:13" ht="25.5">
      <c r="A25" s="5">
        <v>21</v>
      </c>
      <c r="B25" s="6" t="s">
        <v>6</v>
      </c>
      <c r="C25" s="7"/>
      <c r="D25" s="8">
        <f>C25/C14</f>
        <v>0</v>
      </c>
      <c r="E25" s="7"/>
      <c r="F25" s="8">
        <f>E25/E14</f>
        <v>0</v>
      </c>
      <c r="G25" s="7"/>
      <c r="H25" s="8">
        <f>G25/G14</f>
        <v>0</v>
      </c>
      <c r="I25" s="7"/>
      <c r="J25" s="8">
        <f>I25/I14</f>
        <v>0</v>
      </c>
      <c r="K25" s="45"/>
      <c r="L25" s="80">
        <v>500</v>
      </c>
      <c r="M25" s="81">
        <f>L25/L14</f>
        <v>0.0010690613641223007</v>
      </c>
    </row>
    <row r="26" spans="1:13" ht="12.75">
      <c r="A26" s="5">
        <v>22</v>
      </c>
      <c r="B26" s="6" t="s">
        <v>7</v>
      </c>
      <c r="C26" s="7">
        <v>4975.59</v>
      </c>
      <c r="D26" s="8">
        <f>C26/C14</f>
        <v>0.02458862669456704</v>
      </c>
      <c r="E26" s="7">
        <v>5422.91</v>
      </c>
      <c r="F26" s="8">
        <f>E26/E14</f>
        <v>0.023868769676766686</v>
      </c>
      <c r="G26" s="7">
        <v>5813.62</v>
      </c>
      <c r="H26" s="8">
        <f>G26/G14</f>
        <v>0.025577107458897862</v>
      </c>
      <c r="I26" s="7">
        <v>6000</v>
      </c>
      <c r="J26" s="8">
        <f>I26/I14</f>
        <v>0.024360754515905317</v>
      </c>
      <c r="K26" s="45"/>
      <c r="L26" s="80"/>
      <c r="M26" s="81">
        <f>L26/L14</f>
        <v>0</v>
      </c>
    </row>
    <row r="27" spans="1:13" ht="12.75">
      <c r="A27" s="5">
        <v>23</v>
      </c>
      <c r="B27" s="6" t="s">
        <v>52</v>
      </c>
      <c r="C27" s="7">
        <v>260.94</v>
      </c>
      <c r="D27" s="14">
        <f>C27/C14</f>
        <v>0.0012895267193800783</v>
      </c>
      <c r="E27" s="7">
        <v>177.37</v>
      </c>
      <c r="F27" s="14">
        <f>E27/E14</f>
        <v>0.0007806885376242843</v>
      </c>
      <c r="G27" s="7">
        <v>77.6</v>
      </c>
      <c r="H27" s="14">
        <f>G27/G14</f>
        <v>0.00034140235151428435</v>
      </c>
      <c r="I27" s="7">
        <v>77.6</v>
      </c>
      <c r="J27" s="14">
        <f>I27/I14</f>
        <v>0.00031506575840570874</v>
      </c>
      <c r="K27" s="45"/>
      <c r="L27" s="80"/>
      <c r="M27" s="84">
        <f>L27/L14</f>
        <v>0</v>
      </c>
    </row>
    <row r="28" spans="1:13" ht="13.5" thickBot="1">
      <c r="A28" s="15">
        <v>24</v>
      </c>
      <c r="B28" s="16" t="s">
        <v>38</v>
      </c>
      <c r="C28" s="17">
        <f>SUM(C25,C26,C27)</f>
        <v>5236.53</v>
      </c>
      <c r="D28" s="18">
        <f>D25+D26+D27</f>
        <v>0.02587815341394712</v>
      </c>
      <c r="E28" s="17">
        <f>SUM(E25,E26,E27)</f>
        <v>5600.28</v>
      </c>
      <c r="F28" s="18">
        <f>F25+F26+F27</f>
        <v>0.02464945821439097</v>
      </c>
      <c r="G28" s="17">
        <f>SUM(G25,G26,G27)</f>
        <v>5891.22</v>
      </c>
      <c r="H28" s="18">
        <f>H25+H26+H27</f>
        <v>0.025918509810412146</v>
      </c>
      <c r="I28" s="17">
        <f>SUM(I25,I26,I27)</f>
        <v>6077.6</v>
      </c>
      <c r="J28" s="18">
        <f>J25+J26+J27</f>
        <v>0.024675820274311026</v>
      </c>
      <c r="K28" s="48"/>
      <c r="L28" s="85">
        <f>SUM(L25,L26,L27)</f>
        <v>500</v>
      </c>
      <c r="M28" s="86">
        <f>M25+M26+M27</f>
        <v>0.0010690613641223007</v>
      </c>
    </row>
    <row r="29" spans="1:13" ht="12.75">
      <c r="A29" s="5">
        <v>25</v>
      </c>
      <c r="B29" s="6" t="s">
        <v>8</v>
      </c>
      <c r="C29" s="7">
        <v>17277.75</v>
      </c>
      <c r="D29" s="8">
        <f>C29/C14</f>
        <v>0.08538407402379532</v>
      </c>
      <c r="E29" s="7">
        <v>17041.54</v>
      </c>
      <c r="F29" s="8">
        <f>E29/E14</f>
        <v>0.07500780820581691</v>
      </c>
      <c r="G29" s="7">
        <v>17803.41</v>
      </c>
      <c r="H29" s="8">
        <f>G29/G14</f>
        <v>0.07832636648160987</v>
      </c>
      <c r="I29" s="7">
        <v>18500</v>
      </c>
      <c r="J29" s="8">
        <f>I29/I14</f>
        <v>0.07511232642404139</v>
      </c>
      <c r="K29" s="45"/>
      <c r="L29" s="80">
        <v>29500</v>
      </c>
      <c r="M29" s="81">
        <f>L29/L14</f>
        <v>0.06307462048321574</v>
      </c>
    </row>
    <row r="30" spans="1:13" ht="12.75">
      <c r="A30" s="5">
        <v>26</v>
      </c>
      <c r="B30" s="6" t="s">
        <v>31</v>
      </c>
      <c r="C30" s="7">
        <v>11879.28</v>
      </c>
      <c r="D30" s="8">
        <f>C30/C14</f>
        <v>0.05870563718478339</v>
      </c>
      <c r="E30" s="7">
        <v>7654.09</v>
      </c>
      <c r="F30" s="8">
        <f>E30/E14</f>
        <v>0.03368923904236713</v>
      </c>
      <c r="G30" s="7">
        <v>7848.22</v>
      </c>
      <c r="H30" s="8">
        <f>G30/G14</f>
        <v>0.034528360350533985</v>
      </c>
      <c r="I30" s="7">
        <v>8000</v>
      </c>
      <c r="J30" s="8">
        <f>I30/I14</f>
        <v>0.03248100602120709</v>
      </c>
      <c r="K30" s="45"/>
      <c r="L30" s="80">
        <v>8900</v>
      </c>
      <c r="M30" s="81">
        <f>L30/L14</f>
        <v>0.019029292281376953</v>
      </c>
    </row>
    <row r="31" spans="1:13" ht="12.75">
      <c r="A31" s="5">
        <v>27</v>
      </c>
      <c r="B31" s="6" t="s">
        <v>59</v>
      </c>
      <c r="C31" s="7">
        <v>1231.18</v>
      </c>
      <c r="D31" s="8">
        <f>C31/C14</f>
        <v>0.0060843086777280795</v>
      </c>
      <c r="E31" s="7">
        <v>1347.81</v>
      </c>
      <c r="F31" s="8">
        <f>E31/E14</f>
        <v>0.005932343789228091</v>
      </c>
      <c r="G31" s="7">
        <v>1327.43</v>
      </c>
      <c r="H31" s="8">
        <f>G31/G14</f>
        <v>0.005840047982868642</v>
      </c>
      <c r="I31" s="7">
        <v>1327.43</v>
      </c>
      <c r="J31" s="8">
        <f>I31/I14</f>
        <v>0.005389532727841366</v>
      </c>
      <c r="K31" s="45"/>
      <c r="L31" s="83"/>
      <c r="M31" s="81">
        <f>L31/L14</f>
        <v>0</v>
      </c>
    </row>
    <row r="32" spans="1:13" ht="12.75">
      <c r="A32" s="5">
        <v>28</v>
      </c>
      <c r="B32" s="6" t="s">
        <v>9</v>
      </c>
      <c r="C32" s="7">
        <v>4280.74</v>
      </c>
      <c r="D32" s="8">
        <f>C32/C14</f>
        <v>0.02115478120916332</v>
      </c>
      <c r="E32" s="7">
        <v>6053.86</v>
      </c>
      <c r="F32" s="8">
        <f>E32/E14</f>
        <v>0.026645876475064268</v>
      </c>
      <c r="G32" s="7">
        <v>2993.24</v>
      </c>
      <c r="H32" s="8">
        <f>G32/G14</f>
        <v>0.013168803796992482</v>
      </c>
      <c r="I32" s="7">
        <v>2993.24</v>
      </c>
      <c r="J32" s="8">
        <f>I32/I14</f>
        <v>0.012152930807864738</v>
      </c>
      <c r="K32" s="49"/>
      <c r="L32" s="83">
        <v>16400</v>
      </c>
      <c r="M32" s="81">
        <f>L32/L14</f>
        <v>0.03506521274321146</v>
      </c>
    </row>
    <row r="33" spans="1:13" ht="12.75">
      <c r="A33" s="5">
        <v>29</v>
      </c>
      <c r="B33" s="6" t="s">
        <v>22</v>
      </c>
      <c r="C33" s="7">
        <v>41105.47</v>
      </c>
      <c r="D33" s="8">
        <f>C33/C14</f>
        <v>0.2031371268401787</v>
      </c>
      <c r="E33" s="7">
        <v>28470.9</v>
      </c>
      <c r="F33" s="8">
        <f>E33/E14</f>
        <v>0.12531378071741126</v>
      </c>
      <c r="G33" s="7">
        <v>20108.75</v>
      </c>
      <c r="H33" s="8">
        <f>G33/G14</f>
        <v>0.08846874402078436</v>
      </c>
      <c r="I33" s="7">
        <v>18000</v>
      </c>
      <c r="J33" s="8">
        <f>I33/I14</f>
        <v>0.07308226354771595</v>
      </c>
      <c r="K33" s="45"/>
      <c r="L33" s="83">
        <v>14000</v>
      </c>
      <c r="M33" s="81">
        <f>L33/L14</f>
        <v>0.029933718195424418</v>
      </c>
    </row>
    <row r="34" spans="1:13" ht="12.75">
      <c r="A34" s="5" t="s">
        <v>24</v>
      </c>
      <c r="B34" s="6" t="s">
        <v>60</v>
      </c>
      <c r="C34" s="7">
        <v>5224.23</v>
      </c>
      <c r="D34" s="8">
        <f>C34/C14</f>
        <v>0.02581736864101704</v>
      </c>
      <c r="E34" s="7">
        <v>2787.26</v>
      </c>
      <c r="F34" s="8">
        <f>E34/E14</f>
        <v>0.012268038187848355</v>
      </c>
      <c r="G34" s="7">
        <v>3013.15</v>
      </c>
      <c r="H34" s="8">
        <f>G34/G14</f>
        <v>0.013256398137438995</v>
      </c>
      <c r="I34" s="7">
        <v>3013.15</v>
      </c>
      <c r="J34" s="8">
        <f>I34/I14</f>
        <v>0.012233767911600019</v>
      </c>
      <c r="K34" s="45"/>
      <c r="L34" s="83">
        <v>5200</v>
      </c>
      <c r="M34" s="81">
        <f>L34/L14</f>
        <v>0.011118238186871927</v>
      </c>
    </row>
    <row r="35" spans="1:13" ht="12.75">
      <c r="A35" s="5" t="s">
        <v>25</v>
      </c>
      <c r="B35" s="6" t="s">
        <v>10</v>
      </c>
      <c r="C35" s="7">
        <v>2980</v>
      </c>
      <c r="D35" s="8">
        <f>C35/C14</f>
        <v>0.014726717344035538</v>
      </c>
      <c r="E35" s="7">
        <v>3452</v>
      </c>
      <c r="F35" s="8">
        <f>E35/E14</f>
        <v>0.015193870620054289</v>
      </c>
      <c r="G35" s="7">
        <v>4511.35</v>
      </c>
      <c r="H35" s="8">
        <f>G35/G14</f>
        <v>0.019847751269381018</v>
      </c>
      <c r="I35" s="7">
        <v>4511.35</v>
      </c>
      <c r="J35" s="8">
        <f>I35/I14</f>
        <v>0.018316648314221577</v>
      </c>
      <c r="K35" s="45"/>
      <c r="L35" s="83">
        <v>22000</v>
      </c>
      <c r="M35" s="81">
        <f>L35/L14</f>
        <v>0.047038700021381226</v>
      </c>
    </row>
    <row r="36" spans="1:13" ht="12.75">
      <c r="A36" s="5" t="s">
        <v>26</v>
      </c>
      <c r="B36" s="6" t="s">
        <v>23</v>
      </c>
      <c r="C36" s="7">
        <v>5102.85</v>
      </c>
      <c r="D36" s="8">
        <f>C36/C14</f>
        <v>0.02521752671107777</v>
      </c>
      <c r="E36" s="7">
        <v>2070.49</v>
      </c>
      <c r="F36" s="8">
        <f>E36/E14</f>
        <v>0.00911319732911825</v>
      </c>
      <c r="G36" s="7">
        <v>3287.21</v>
      </c>
      <c r="H36" s="8">
        <f>G36/G14</f>
        <v>0.014462129174243181</v>
      </c>
      <c r="I36" s="7">
        <v>3287.21</v>
      </c>
      <c r="J36" s="8">
        <f>I36/I14</f>
        <v>0.013346485975371521</v>
      </c>
      <c r="K36" s="45"/>
      <c r="L36" s="83"/>
      <c r="M36" s="81">
        <f>L36/L14</f>
        <v>0</v>
      </c>
    </row>
    <row r="37" spans="1:13" ht="12.75">
      <c r="A37" s="5" t="s">
        <v>27</v>
      </c>
      <c r="B37" s="6" t="s">
        <v>11</v>
      </c>
      <c r="C37" s="7">
        <v>8212.36</v>
      </c>
      <c r="D37" s="8">
        <f>C37/C14</f>
        <v>0.040584263237403925</v>
      </c>
      <c r="E37" s="7">
        <v>8600.52</v>
      </c>
      <c r="F37" s="8">
        <f>E37/E14</f>
        <v>0.037854921247157974</v>
      </c>
      <c r="G37" s="7">
        <v>9525.46</v>
      </c>
      <c r="H37" s="8">
        <f>G37/G14</f>
        <v>0.04190740261926875</v>
      </c>
      <c r="I37" s="7">
        <v>9525.46</v>
      </c>
      <c r="J37" s="8">
        <f>I37/I14</f>
        <v>0.03867456545184591</v>
      </c>
      <c r="K37" s="45"/>
      <c r="L37" s="83">
        <v>31400</v>
      </c>
      <c r="M37" s="81">
        <f>L37/L14</f>
        <v>0.06713705366688048</v>
      </c>
    </row>
    <row r="38" spans="1:13" ht="12.75">
      <c r="A38" s="9">
        <v>31</v>
      </c>
      <c r="B38" s="10" t="s">
        <v>67</v>
      </c>
      <c r="C38" s="11">
        <f>SUM(C24,C28,C29,C30,C31,C32,C33,C34,C35,C36,C37)</f>
        <v>201587.22999999998</v>
      </c>
      <c r="D38" s="12">
        <f>SUM(D24,D28,D29,D30,D31,D32,D33,D34,D35,D37)</f>
        <v>0.9709966197241846</v>
      </c>
      <c r="E38" s="11">
        <f>SUM(E24,E28,E29,E30,E31,E32,E33,E34,E35,E36,E37)</f>
        <v>177939.74999999997</v>
      </c>
      <c r="F38" s="12">
        <f>SUM(F24,F28,F29,F30,F31,F32,F33,F34,F35,F37)</f>
        <v>0.7740830771971868</v>
      </c>
      <c r="G38" s="11">
        <f>SUM(G24,G28,G29,G30,G31,G32,G33,G34,G35,G36,G37)</f>
        <v>165664.49</v>
      </c>
      <c r="H38" s="12">
        <f>SUM(H24,H28,H29,H30,H31,H32,H33,H34,H35,H37)</f>
        <v>0.714381252892956</v>
      </c>
      <c r="I38" s="11">
        <f>SUM(I24,I28,I29,I30,I31,I32,I33,I34,I35,I36,I37)</f>
        <v>163795.44</v>
      </c>
      <c r="J38" s="12">
        <f>SUM(J24,J28,J29,J30,J31,J32,J33,J34,J35,J37)</f>
        <v>0.6516835981354114</v>
      </c>
      <c r="K38" s="46"/>
      <c r="L38" s="79">
        <f>SUM(L29:L37,L28,L24)</f>
        <v>268400</v>
      </c>
      <c r="M38" s="78">
        <f>SUM(M24,M28,M29,M30,M31,M32,M33,M34,M35,M37)</f>
        <v>0.573872140260851</v>
      </c>
    </row>
    <row r="39" spans="1:13" ht="12.75">
      <c r="A39" s="9">
        <v>32</v>
      </c>
      <c r="B39" s="10" t="s">
        <v>29</v>
      </c>
      <c r="C39" s="11">
        <f>C20-C38</f>
        <v>-35266.81</v>
      </c>
      <c r="D39" s="12">
        <f>C39/C14</f>
        <v>-0.17428333640798857</v>
      </c>
      <c r="E39" s="11">
        <f>E20-E38</f>
        <v>5613.900000000052</v>
      </c>
      <c r="F39" s="12">
        <f>E39/E14</f>
        <v>0.02470940622071946</v>
      </c>
      <c r="G39" s="11">
        <f>G20-G38</f>
        <v>13865.48000000001</v>
      </c>
      <c r="H39" s="12">
        <f>G39/G14</f>
        <v>0.06100138501126654</v>
      </c>
      <c r="I39" s="11">
        <f>I20-I38</f>
        <v>30502.350000000006</v>
      </c>
      <c r="J39" s="12">
        <f>I39/I14</f>
        <v>0.12384337675137079</v>
      </c>
      <c r="K39" s="46"/>
      <c r="L39" s="79">
        <f>L20-L38</f>
        <v>97200</v>
      </c>
      <c r="M39" s="78">
        <f>L39/L14</f>
        <v>0.20782552918537525</v>
      </c>
    </row>
    <row r="40" spans="1:13" ht="12.75">
      <c r="A40" s="19">
        <v>33</v>
      </c>
      <c r="B40" s="20" t="s">
        <v>53</v>
      </c>
      <c r="C40" s="21">
        <v>20922.17</v>
      </c>
      <c r="D40" s="8">
        <f>C40/C14</f>
        <v>0.10339425631337584</v>
      </c>
      <c r="E40" s="21">
        <v>15220.92</v>
      </c>
      <c r="F40" s="8">
        <f>E40/E14</f>
        <v>0.06699440590909522</v>
      </c>
      <c r="G40" s="21">
        <v>12596.94</v>
      </c>
      <c r="H40" s="8">
        <f>G40/G14</f>
        <v>0.05542042445727255</v>
      </c>
      <c r="I40" s="21">
        <v>11837</v>
      </c>
      <c r="J40" s="8">
        <f>I40/I14</f>
        <v>0.04805970853412854</v>
      </c>
      <c r="K40" s="45"/>
      <c r="L40" s="83">
        <v>29000</v>
      </c>
      <c r="M40" s="81">
        <f>L40/L14</f>
        <v>0.06200555911909344</v>
      </c>
    </row>
    <row r="41" spans="1:13" ht="13.5" thickBot="1">
      <c r="A41" s="19">
        <v>34</v>
      </c>
      <c r="B41" s="20" t="s">
        <v>41</v>
      </c>
      <c r="C41" s="21"/>
      <c r="D41" s="8"/>
      <c r="E41" s="21">
        <v>142.24</v>
      </c>
      <c r="F41" s="8"/>
      <c r="G41" s="21"/>
      <c r="H41" s="8"/>
      <c r="I41" s="21"/>
      <c r="J41" s="8"/>
      <c r="K41" s="45"/>
      <c r="L41" s="83"/>
      <c r="M41" s="81">
        <f>L41/L14</f>
        <v>0</v>
      </c>
    </row>
    <row r="42" spans="1:13" ht="13.5" thickBot="1">
      <c r="A42" s="23">
        <v>35</v>
      </c>
      <c r="B42" s="24" t="s">
        <v>12</v>
      </c>
      <c r="C42" s="25">
        <f>C39-C40</f>
        <v>-56188.979999999996</v>
      </c>
      <c r="D42" s="41">
        <f>C42/C14</f>
        <v>-0.2776775927213644</v>
      </c>
      <c r="E42" s="25">
        <f>E39-E40-E41</f>
        <v>-9749.259999999947</v>
      </c>
      <c r="F42" s="41">
        <f>E42/E14</f>
        <v>-0.04291106462377453</v>
      </c>
      <c r="G42" s="25">
        <f>G39-G40-G41</f>
        <v>1268.54000000001</v>
      </c>
      <c r="H42" s="41">
        <f>G42/G14</f>
        <v>0.005580960553993992</v>
      </c>
      <c r="I42" s="25">
        <f>I39-I40-I41</f>
        <v>18665.350000000006</v>
      </c>
      <c r="J42" s="41">
        <f>I42/I14</f>
        <v>0.07578366821724225</v>
      </c>
      <c r="K42" s="50"/>
      <c r="L42" s="87">
        <f>L39-L40-L41</f>
        <v>68200</v>
      </c>
      <c r="M42" s="88">
        <f>L42/L14</f>
        <v>0.1458199700662818</v>
      </c>
    </row>
    <row r="43" spans="1:13" ht="12.75">
      <c r="A43" s="19">
        <v>36</v>
      </c>
      <c r="B43" s="20" t="s">
        <v>13</v>
      </c>
      <c r="C43" s="21">
        <f>C33</f>
        <v>41105.47</v>
      </c>
      <c r="D43" s="8">
        <f>C43/C14</f>
        <v>0.2031371268401787</v>
      </c>
      <c r="E43" s="21">
        <f>E33</f>
        <v>28470.9</v>
      </c>
      <c r="F43" s="8">
        <f>E43/E14</f>
        <v>0.12531378071741126</v>
      </c>
      <c r="G43" s="21">
        <f>G33</f>
        <v>20108.75</v>
      </c>
      <c r="H43" s="8">
        <f>G43/G14</f>
        <v>0.08846874402078436</v>
      </c>
      <c r="I43" s="21">
        <f>I33</f>
        <v>18000</v>
      </c>
      <c r="J43" s="8">
        <f>I43/I14</f>
        <v>0.07308226354771595</v>
      </c>
      <c r="K43" s="45"/>
      <c r="L43" s="83">
        <v>14000</v>
      </c>
      <c r="M43" s="81">
        <f>L43/L14</f>
        <v>0.029933718195424418</v>
      </c>
    </row>
    <row r="44" spans="1:13" ht="13.5" thickBot="1">
      <c r="A44" s="19">
        <v>37</v>
      </c>
      <c r="B44" s="20" t="s">
        <v>14</v>
      </c>
      <c r="C44" s="59">
        <v>0</v>
      </c>
      <c r="D44" s="22">
        <f>C44/C14</f>
        <v>0</v>
      </c>
      <c r="E44" s="21">
        <v>23644.51</v>
      </c>
      <c r="F44" s="22">
        <f>E44/E14</f>
        <v>0.10407057526494201</v>
      </c>
      <c r="G44" s="21">
        <v>29939.25</v>
      </c>
      <c r="H44" s="22">
        <f>G44/G14</f>
        <v>0.13171817464657268</v>
      </c>
      <c r="I44" s="21">
        <v>31000</v>
      </c>
      <c r="J44" s="22">
        <f>I44/I14</f>
        <v>0.12586389833217748</v>
      </c>
      <c r="K44" s="53"/>
      <c r="L44" s="83"/>
      <c r="M44" s="89">
        <f>L44/L14</f>
        <v>0</v>
      </c>
    </row>
    <row r="45" spans="1:13" ht="13.5" thickBot="1">
      <c r="A45" s="23">
        <v>38</v>
      </c>
      <c r="B45" s="24" t="s">
        <v>54</v>
      </c>
      <c r="C45" s="25">
        <f>C42+C43-C44</f>
        <v>-15083.509999999995</v>
      </c>
      <c r="D45" s="26">
        <f>C45/C14</f>
        <v>-0.07454046588118571</v>
      </c>
      <c r="E45" s="25">
        <f>E42+E43-E44</f>
        <v>-4922.869999999944</v>
      </c>
      <c r="F45" s="26">
        <f>E45/E14</f>
        <v>-0.021667859171305277</v>
      </c>
      <c r="G45" s="25">
        <f>G42+G43-G44</f>
        <v>-8561.959999999992</v>
      </c>
      <c r="H45" s="26">
        <f>G45/G14</f>
        <v>-0.03766847007179432</v>
      </c>
      <c r="I45" s="25">
        <f>I42+I43-I44</f>
        <v>5665.350000000006</v>
      </c>
      <c r="J45" s="26">
        <f>I45/I14</f>
        <v>0.023002033432780723</v>
      </c>
      <c r="K45" s="51"/>
      <c r="L45" s="87">
        <f>L42+L43-L44</f>
        <v>82200</v>
      </c>
      <c r="M45" s="90">
        <f>L45/L14</f>
        <v>0.17575368826170623</v>
      </c>
    </row>
    <row r="46" spans="1:13" s="63" customFormat="1" ht="12.75">
      <c r="A46" s="60"/>
      <c r="B46" s="20"/>
      <c r="C46" s="61"/>
      <c r="D46" s="62"/>
      <c r="E46" s="61"/>
      <c r="F46" s="62"/>
      <c r="G46" s="61"/>
      <c r="H46" s="62"/>
      <c r="I46" s="61"/>
      <c r="J46" s="62"/>
      <c r="K46" s="62"/>
      <c r="L46" s="71"/>
      <c r="M46" s="72"/>
    </row>
    <row r="47" spans="1:13" s="106" customFormat="1" ht="11.25">
      <c r="A47" s="103" t="s">
        <v>68</v>
      </c>
      <c r="B47" s="103"/>
      <c r="C47" s="103"/>
      <c r="D47" s="103"/>
      <c r="E47" s="103"/>
      <c r="F47" s="104"/>
      <c r="G47" s="104"/>
      <c r="H47" s="104"/>
      <c r="I47" s="104"/>
      <c r="J47" s="104"/>
      <c r="K47" s="104"/>
      <c r="L47" s="105"/>
      <c r="M47" s="105"/>
    </row>
    <row r="48" spans="1:13" s="106" customFormat="1" ht="11.25">
      <c r="A48" s="107" t="s">
        <v>69</v>
      </c>
      <c r="B48" s="107"/>
      <c r="C48" s="107"/>
      <c r="D48" s="107"/>
      <c r="E48" s="107"/>
      <c r="F48" s="107"/>
      <c r="G48" s="107"/>
      <c r="H48" s="107"/>
      <c r="I48" s="108"/>
      <c r="J48" s="108"/>
      <c r="L48" s="109"/>
      <c r="M48" s="109"/>
    </row>
    <row r="49" spans="1:13" ht="12.75">
      <c r="A49" s="27">
        <v>37</v>
      </c>
      <c r="B49" s="28" t="s">
        <v>15</v>
      </c>
      <c r="C49" s="29" t="s">
        <v>55</v>
      </c>
      <c r="D49" s="27"/>
      <c r="E49" s="29" t="s">
        <v>55</v>
      </c>
      <c r="F49" s="27"/>
      <c r="G49" s="29" t="s">
        <v>55</v>
      </c>
      <c r="H49" s="27"/>
      <c r="I49" s="29" t="s">
        <v>55</v>
      </c>
      <c r="J49" s="27"/>
      <c r="K49" s="27"/>
      <c r="L49" s="91" t="s">
        <v>55</v>
      </c>
      <c r="M49" s="73"/>
    </row>
    <row r="50" spans="1:13" ht="12.75">
      <c r="A50" s="30">
        <v>38</v>
      </c>
      <c r="B50" s="31" t="s">
        <v>30</v>
      </c>
      <c r="C50" s="32">
        <f>C42</f>
        <v>-56188.979999999996</v>
      </c>
      <c r="D50" s="30"/>
      <c r="E50" s="32">
        <f>E42</f>
        <v>-9749.259999999947</v>
      </c>
      <c r="F50" s="30"/>
      <c r="G50" s="32"/>
      <c r="H50" s="30"/>
      <c r="I50" s="32"/>
      <c r="J50" s="30"/>
      <c r="K50" s="52"/>
      <c r="L50" s="92">
        <f>L42</f>
        <v>68200</v>
      </c>
      <c r="M50" s="75"/>
    </row>
    <row r="51" spans="1:13" ht="12.75">
      <c r="A51" s="30">
        <v>39</v>
      </c>
      <c r="B51" s="31" t="s">
        <v>64</v>
      </c>
      <c r="C51" s="32"/>
      <c r="D51" s="30"/>
      <c r="E51" s="32"/>
      <c r="F51" s="30"/>
      <c r="G51" s="32"/>
      <c r="H51" s="30"/>
      <c r="I51" s="32"/>
      <c r="J51" s="30"/>
      <c r="K51" s="52"/>
      <c r="L51" s="74"/>
      <c r="M51" s="75"/>
    </row>
    <row r="52" spans="1:13" ht="12.75">
      <c r="A52" s="33">
        <v>40</v>
      </c>
      <c r="B52" s="31" t="s">
        <v>70</v>
      </c>
      <c r="C52" s="32"/>
      <c r="D52" s="30"/>
      <c r="E52" s="32"/>
      <c r="F52" s="30"/>
      <c r="G52" s="32"/>
      <c r="H52" s="30"/>
      <c r="I52" s="32"/>
      <c r="J52" s="30"/>
      <c r="K52" s="52"/>
      <c r="L52" s="74"/>
      <c r="M52" s="75"/>
    </row>
    <row r="53" spans="1:13" ht="12.75">
      <c r="A53" s="33">
        <v>41</v>
      </c>
      <c r="B53" s="42" t="s">
        <v>71</v>
      </c>
      <c r="C53" s="32"/>
      <c r="D53" s="30"/>
      <c r="E53" s="32"/>
      <c r="F53" s="30"/>
      <c r="G53" s="32"/>
      <c r="H53" s="30"/>
      <c r="I53" s="32"/>
      <c r="J53" s="30"/>
      <c r="K53" s="52"/>
      <c r="L53" s="74"/>
      <c r="M53" s="75"/>
    </row>
    <row r="54" spans="1:13" ht="12.75">
      <c r="A54" s="30">
        <v>42</v>
      </c>
      <c r="B54" s="42" t="s">
        <v>72</v>
      </c>
      <c r="C54" s="32"/>
      <c r="D54" s="30"/>
      <c r="E54" s="32"/>
      <c r="F54" s="30"/>
      <c r="G54" s="32"/>
      <c r="H54" s="30"/>
      <c r="I54" s="32"/>
      <c r="J54" s="30"/>
      <c r="K54" s="52"/>
      <c r="L54" s="74"/>
      <c r="M54" s="75"/>
    </row>
    <row r="55" spans="1:13" ht="12.75">
      <c r="A55" s="30">
        <v>43</v>
      </c>
      <c r="B55" s="31" t="s">
        <v>73</v>
      </c>
      <c r="C55" s="32"/>
      <c r="D55" s="30"/>
      <c r="E55" s="32"/>
      <c r="F55" s="30"/>
      <c r="G55" s="32"/>
      <c r="H55" s="30"/>
      <c r="I55" s="32"/>
      <c r="J55" s="30"/>
      <c r="K55" s="52"/>
      <c r="L55" s="74"/>
      <c r="M55" s="75"/>
    </row>
    <row r="56" spans="1:13" ht="12.75">
      <c r="A56" s="30">
        <v>44</v>
      </c>
      <c r="B56" s="31" t="s">
        <v>74</v>
      </c>
      <c r="C56" s="32"/>
      <c r="D56" s="30"/>
      <c r="E56" s="32"/>
      <c r="F56" s="30"/>
      <c r="G56" s="32"/>
      <c r="H56" s="30"/>
      <c r="I56" s="32"/>
      <c r="J56" s="30"/>
      <c r="K56" s="52"/>
      <c r="L56" s="74"/>
      <c r="M56" s="75"/>
    </row>
    <row r="57" spans="1:13" ht="12.75">
      <c r="A57" s="30">
        <v>45</v>
      </c>
      <c r="B57" s="31" t="s">
        <v>75</v>
      </c>
      <c r="C57" s="32"/>
      <c r="D57" s="30"/>
      <c r="E57" s="32"/>
      <c r="F57" s="30"/>
      <c r="G57" s="32"/>
      <c r="H57" s="30"/>
      <c r="I57" s="32"/>
      <c r="J57" s="30"/>
      <c r="K57" s="52"/>
      <c r="L57" s="74"/>
      <c r="M57" s="75"/>
    </row>
    <row r="58" spans="1:13" ht="12" customHeight="1">
      <c r="A58" s="27">
        <v>46</v>
      </c>
      <c r="B58" s="34" t="s">
        <v>16</v>
      </c>
      <c r="C58" s="35">
        <f>C50-C51+C52+C53+C54+C55+C56+C57</f>
        <v>-56188.979999999996</v>
      </c>
      <c r="D58" s="36"/>
      <c r="E58" s="35">
        <f>E50-E51+E52+E53+E54+E55+E56-E57</f>
        <v>-9749.259999999947</v>
      </c>
      <c r="F58" s="36"/>
      <c r="G58" s="35"/>
      <c r="H58" s="36"/>
      <c r="I58" s="35"/>
      <c r="J58" s="36"/>
      <c r="K58" s="36"/>
      <c r="L58" s="93">
        <f>L50-L51+L52+L53+L54+L55+L56</f>
        <v>68200</v>
      </c>
      <c r="M58" s="76"/>
    </row>
    <row r="59" spans="1:13" ht="12.75">
      <c r="A59" s="27">
        <v>47</v>
      </c>
      <c r="B59" s="34" t="s">
        <v>17</v>
      </c>
      <c r="C59" s="35">
        <v>-56241.95</v>
      </c>
      <c r="D59" s="36"/>
      <c r="E59" s="35">
        <v>-9714.45</v>
      </c>
      <c r="F59" s="36"/>
      <c r="G59" s="35"/>
      <c r="H59" s="36"/>
      <c r="I59" s="35"/>
      <c r="J59" s="36"/>
      <c r="K59" s="36"/>
      <c r="L59" s="93">
        <v>54300</v>
      </c>
      <c r="M59" s="76"/>
    </row>
    <row r="60" spans="1:13" ht="12.75">
      <c r="A60" s="37">
        <v>48</v>
      </c>
      <c r="B60" s="38" t="s">
        <v>18</v>
      </c>
      <c r="C60" s="39">
        <f>C58-C59</f>
        <v>52.970000000001164</v>
      </c>
      <c r="D60" s="40"/>
      <c r="E60" s="39">
        <f>E58-E59</f>
        <v>-34.80999999994674</v>
      </c>
      <c r="F60" s="40"/>
      <c r="G60" s="39">
        <f>G58-G59</f>
        <v>0</v>
      </c>
      <c r="H60" s="40"/>
      <c r="I60" s="39">
        <f>I58-I59</f>
        <v>0</v>
      </c>
      <c r="J60" s="40"/>
      <c r="K60" s="40"/>
      <c r="L60" s="94">
        <f>L58-L59</f>
        <v>13900</v>
      </c>
      <c r="M60" s="77"/>
    </row>
  </sheetData>
  <sheetProtection/>
  <mergeCells count="10">
    <mergeCell ref="L3:M3"/>
    <mergeCell ref="A2:H2"/>
    <mergeCell ref="I3:J3"/>
    <mergeCell ref="A1:C1"/>
    <mergeCell ref="G3:H3"/>
    <mergeCell ref="B3:B4"/>
    <mergeCell ref="C3:D3"/>
    <mergeCell ref="E3:F3"/>
    <mergeCell ref="A48:H48"/>
    <mergeCell ref="A47:E47"/>
  </mergeCells>
  <printOptions/>
  <pageMargins left="0.7874015748031497" right="0.6692913385826772" top="0.984251968503937" bottom="0.984251968503937" header="0.5118110236220472" footer="0.31496062992125984"/>
  <pageSetup horizontalDpi="600" verticalDpi="600" orientation="landscape" paperSize="9" scale="72" r:id="rId1"/>
  <headerFooter alignWithMargins="0">
    <oddFooter>&amp;L&amp;9Stand August 2012
(c) Copyright Deubner Verlag GmbH &amp;&amp; Co. KG, www.deubner-verlag.de
&amp;R&amp;9Seite &amp;P von &amp;N</oddFooter>
  </headerFooter>
  <rowBreaks count="1" manualBreakCount="1">
    <brk id="4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44"/>
  <sheetViews>
    <sheetView view="pageLayout" workbookViewId="0" topLeftCell="A1">
      <selection activeCell="A3" sqref="A3"/>
    </sheetView>
  </sheetViews>
  <sheetFormatPr defaultColWidth="11.421875" defaultRowHeight="12.75"/>
  <sheetData>
    <row r="2" ht="12.75">
      <c r="A2" s="54" t="s">
        <v>43</v>
      </c>
    </row>
    <row r="3" ht="12.75">
      <c r="A3" s="54"/>
    </row>
    <row r="4" spans="1:2" ht="12.75">
      <c r="A4" s="112" t="s">
        <v>44</v>
      </c>
      <c r="B4" s="112" t="s">
        <v>45</v>
      </c>
    </row>
    <row r="5" spans="1:3" ht="12.75">
      <c r="A5" s="55">
        <f>Entwicklungsübersicht!C11</f>
        <v>202353.31</v>
      </c>
      <c r="B5" s="55">
        <f>Entwicklungsübersicht!C24</f>
        <v>99056.84</v>
      </c>
      <c r="C5">
        <v>2010</v>
      </c>
    </row>
    <row r="6" spans="1:3" ht="12.75">
      <c r="A6" s="55">
        <f>Entwicklungsübersicht!E11</f>
        <v>227196.88</v>
      </c>
      <c r="B6" s="55">
        <f>Entwicklungsübersicht!E24</f>
        <v>94861</v>
      </c>
      <c r="C6">
        <v>2011</v>
      </c>
    </row>
    <row r="7" spans="1:3" ht="12.75">
      <c r="A7" s="55">
        <f>Entwicklungsübersicht!G14</f>
        <v>227297.79</v>
      </c>
      <c r="B7" s="55">
        <f>Entwicklungsübersicht!G24</f>
        <v>89355.05</v>
      </c>
      <c r="C7">
        <v>2012</v>
      </c>
    </row>
    <row r="8" spans="1:4" ht="12.75">
      <c r="A8" s="55">
        <f>Entwicklungsübersicht!I11</f>
        <v>246297.79</v>
      </c>
      <c r="B8" s="55">
        <f>Entwicklungsübersicht!I24</f>
        <v>88560</v>
      </c>
      <c r="C8">
        <v>2013</v>
      </c>
      <c r="D8" t="s">
        <v>61</v>
      </c>
    </row>
    <row r="34" spans="1:3" ht="12.75">
      <c r="A34">
        <v>2010</v>
      </c>
      <c r="B34">
        <v>2011</v>
      </c>
      <c r="C34" s="65">
        <v>2012</v>
      </c>
    </row>
    <row r="35" spans="1:4" ht="12.75">
      <c r="A35" s="56">
        <v>0.306</v>
      </c>
      <c r="B35" s="56">
        <v>0.299</v>
      </c>
      <c r="C35" s="66">
        <v>0.299</v>
      </c>
      <c r="D35" t="s">
        <v>63</v>
      </c>
    </row>
    <row r="36" spans="1:4" ht="12.75">
      <c r="A36" s="56">
        <f>Entwicklungsübersicht!F24</f>
        <v>0.4175277406978476</v>
      </c>
      <c r="B36" s="56">
        <f>Entwicklungsübersicht!H24</f>
        <v>0.3931188684236657</v>
      </c>
      <c r="C36" s="56">
        <f>Entwicklungsübersicht!J24</f>
        <v>0.35956473665476246</v>
      </c>
      <c r="D36" t="s">
        <v>62</v>
      </c>
    </row>
    <row r="37" ht="21.75" customHeight="1"/>
    <row r="40" ht="12.75">
      <c r="B40" s="56"/>
    </row>
    <row r="41" ht="12.75">
      <c r="B41" s="56"/>
    </row>
    <row r="42" ht="12.75">
      <c r="B42" s="56"/>
    </row>
    <row r="43" ht="12.75">
      <c r="B43" s="56"/>
    </row>
    <row r="44" ht="12.75">
      <c r="B44" s="56"/>
    </row>
  </sheetData>
  <sheetProtection/>
  <printOptions/>
  <pageMargins left="0.42" right="0.3" top="0.984251968503937" bottom="0.984251968503937" header="0.5118110236220472" footer="0.5118110236220472"/>
  <pageSetup horizontalDpi="600" verticalDpi="600" orientation="portrait" paperSize="9" scale="72" r:id="rId2"/>
  <headerFooter alignWithMargins="0">
    <oddHeader>&amp;C&amp;"Arial,Fett"&amp;12Beispiel interner und externer Kennzahlenvergleich Gastronomie</oddHeader>
    <oddFooter>&amp;L&amp;9Stand Dezember 2011
(c) Copyright Deubner Verlag GmbH &amp;&amp; Co. KG, www.deubner-verlag.de&amp;R&amp;9Seite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2"/>
  <sheetViews>
    <sheetView view="pageLayout" workbookViewId="0" topLeftCell="A1">
      <selection activeCell="A4" sqref="A4"/>
    </sheetView>
  </sheetViews>
  <sheetFormatPr defaultColWidth="11.421875" defaultRowHeight="12.75"/>
  <sheetData>
    <row r="3" ht="12.75">
      <c r="A3" s="54" t="s">
        <v>50</v>
      </c>
    </row>
    <row r="5" spans="1:3" ht="12.75">
      <c r="A5" s="112">
        <v>2010</v>
      </c>
      <c r="B5" s="112">
        <v>2011</v>
      </c>
      <c r="C5" s="112">
        <v>2012</v>
      </c>
    </row>
    <row r="6" spans="1:9" ht="12.75">
      <c r="A6" s="57">
        <f>Entwicklungsübersicht!D8</f>
        <v>0.6834580566040654</v>
      </c>
      <c r="B6" s="57">
        <f>Entwicklungsübersicht!F8</f>
        <v>0.6745251079152144</v>
      </c>
      <c r="C6" s="57">
        <f>Entwicklungsübersicht!H8</f>
        <v>0.6599272258652404</v>
      </c>
      <c r="D6" t="s">
        <v>46</v>
      </c>
      <c r="E6" s="58"/>
      <c r="F6" s="57"/>
      <c r="G6" s="57"/>
      <c r="H6" s="57"/>
      <c r="I6" s="57"/>
    </row>
    <row r="7" spans="1:9" ht="12.75">
      <c r="A7" s="57">
        <f>Entwicklungsübersicht!$M$8</f>
        <v>0.743</v>
      </c>
      <c r="B7" s="57">
        <f>Entwicklungsübersicht!$M$8</f>
        <v>0.743</v>
      </c>
      <c r="C7" s="57">
        <f>Entwicklungsübersicht!$M$8</f>
        <v>0.743</v>
      </c>
      <c r="D7" t="s">
        <v>65</v>
      </c>
      <c r="E7" s="58"/>
      <c r="F7" s="57"/>
      <c r="G7" s="57"/>
      <c r="H7" s="57"/>
      <c r="I7" s="57"/>
    </row>
    <row r="8" spans="5:9" ht="12.75">
      <c r="E8" s="58"/>
      <c r="F8" s="57"/>
      <c r="G8" s="57"/>
      <c r="H8" s="57"/>
      <c r="I8" s="57"/>
    </row>
    <row r="10" spans="1:4" ht="12.75">
      <c r="A10" s="57">
        <f aca="true" t="shared" si="0" ref="A10:C11">100%-A6</f>
        <v>0.31654194339593456</v>
      </c>
      <c r="B10" s="57">
        <f t="shared" si="0"/>
        <v>0.32547489208478564</v>
      </c>
      <c r="C10" s="57">
        <f t="shared" si="0"/>
        <v>0.34007277413475956</v>
      </c>
      <c r="D10" t="s">
        <v>48</v>
      </c>
    </row>
    <row r="11" spans="1:4" ht="12.75">
      <c r="A11" s="57">
        <f t="shared" si="0"/>
        <v>0.257</v>
      </c>
      <c r="B11" s="57">
        <f t="shared" si="0"/>
        <v>0.257</v>
      </c>
      <c r="C11" s="57">
        <f t="shared" si="0"/>
        <v>0.257</v>
      </c>
      <c r="D11" t="s">
        <v>65</v>
      </c>
    </row>
    <row r="18" spans="1:3" ht="12.75">
      <c r="A18" s="112">
        <v>2010</v>
      </c>
      <c r="B18" s="112">
        <v>2011</v>
      </c>
      <c r="C18" s="113">
        <v>2012</v>
      </c>
    </row>
    <row r="19" spans="1:4" ht="12.75">
      <c r="A19" s="57">
        <f>Entwicklungsübersicht!D20</f>
        <v>0.8219308100272735</v>
      </c>
      <c r="B19" s="57">
        <f>Entwicklungsübersicht!F20</f>
        <v>0.8079056807470244</v>
      </c>
      <c r="C19" s="57">
        <f>Entwicklungsübersicht!H20</f>
        <v>0.7898447670784656</v>
      </c>
      <c r="D19" t="s">
        <v>49</v>
      </c>
    </row>
    <row r="20" spans="1:4" ht="12.75">
      <c r="A20" s="57">
        <v>0.765</v>
      </c>
      <c r="B20" s="57">
        <v>0.766</v>
      </c>
      <c r="C20" s="67">
        <v>0.766</v>
      </c>
      <c r="D20" t="s">
        <v>47</v>
      </c>
    </row>
    <row r="21" ht="12.75">
      <c r="A21" s="57"/>
    </row>
    <row r="22" ht="12.75">
      <c r="A22" s="57"/>
    </row>
  </sheetData>
  <sheetProtection/>
  <printOptions/>
  <pageMargins left="0.42" right="0.3" top="0.984251968503937" bottom="0.984251968503937" header="0.5118110236220472" footer="0.5118110236220472"/>
  <pageSetup horizontalDpi="600" verticalDpi="600" orientation="portrait" paperSize="9" scale="72" r:id="rId2"/>
  <headerFooter alignWithMargins="0">
    <oddHeader>&amp;C&amp;"Arial,Fett"&amp;12Beispiel Kennzahlenanalyse Gastronomie</oddHeader>
    <oddFooter>&amp;L&amp;9Stand  August 2012
(C) Copyright Deubner Verlag GmbH &amp;&amp; Co KG, www.deubner-verlag.de&amp;R&amp;9Seite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Schwarte, Elke</cp:lastModifiedBy>
  <cp:lastPrinted>2012-05-23T09:09:02Z</cp:lastPrinted>
  <dcterms:created xsi:type="dcterms:W3CDTF">2005-07-18T10:27:50Z</dcterms:created>
  <dcterms:modified xsi:type="dcterms:W3CDTF">2012-06-22T10:26:26Z</dcterms:modified>
  <cp:category/>
  <cp:version/>
  <cp:contentType/>
  <cp:contentStatus/>
</cp:coreProperties>
</file>